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0_C1退撫資離\1退休金試算\"/>
    </mc:Choice>
  </mc:AlternateContent>
  <xr:revisionPtr revIDLastSave="0" documentId="8_{217BDC56-CB6A-499F-9513-2F6DD51744BE}" xr6:coauthVersionLast="36" xr6:coauthVersionMax="36" xr10:uidLastSave="{00000000-0000-0000-0000-000000000000}"/>
  <workbookProtection workbookAlgorithmName="SHA-512" workbookHashValue="AdPzgwQOHKXKOA5QYw1T4vg+CUjKGGBDU5QszJl/sDeCtzaefu615NUuDkhQK053DfuMGmpfXwBns0h5pyj0Vw==" workbookSaltValue="foR77i9ieeCH7l3IETTHxA==" workbookSpinCount="100000" lockStructure="1"/>
  <bookViews>
    <workbookView xWindow="0" yWindow="0" windowWidth="11640" windowHeight="11250" xr2:uid="{00000000-000D-0000-FFFF-FFFF00000000}"/>
  </bookViews>
  <sheets>
    <sheet name="Sheet1" sheetId="2" r:id="rId1"/>
    <sheet name="sheet2" sheetId="1" state="hidden" r:id="rId2"/>
  </sheets>
  <definedNames>
    <definedName name="DC">sheet2!$FA$517:$FH$597</definedName>
    <definedName name="grade">sheet2!$FY$502:$GA$581</definedName>
    <definedName name="labor">sheet2!$GJ$504:$GJ$525</definedName>
    <definedName name="new_service">sheet2!$FT$502:$FU$542</definedName>
    <definedName name="old_ins">sheet2!$FK$502:$FO$542</definedName>
    <definedName name="old_service">sheet2!$FQ$502:$FR$542</definedName>
    <definedName name="_xlnm.Print_Area" localSheetId="0">Sheet1!$A$1:$H$24</definedName>
    <definedName name="salary">sheet2!$FW$502:$FY$581</definedName>
  </definedNames>
  <calcPr calcId="191029"/>
</workbook>
</file>

<file path=xl/calcChain.xml><?xml version="1.0" encoding="utf-8"?>
<calcChain xmlns="http://schemas.openxmlformats.org/spreadsheetml/2006/main">
  <c r="FD518" i="1" l="1"/>
  <c r="GC502" i="1"/>
  <c r="FC513" i="1" l="1"/>
  <c r="FB513" i="1"/>
  <c r="C4" i="2" l="1"/>
  <c r="FI515" i="1"/>
  <c r="FE511" i="1" l="1"/>
  <c r="GK504" i="1" l="1"/>
  <c r="GK505" i="1"/>
  <c r="GK506" i="1"/>
  <c r="GK507" i="1"/>
  <c r="GK508" i="1"/>
  <c r="GK509" i="1"/>
  <c r="GK510" i="1"/>
  <c r="GK511" i="1"/>
  <c r="GK512" i="1"/>
  <c r="GK513" i="1"/>
  <c r="GK514" i="1"/>
  <c r="GK515" i="1"/>
  <c r="GK516" i="1"/>
  <c r="GK517" i="1"/>
  <c r="GK518" i="1"/>
  <c r="GK519" i="1"/>
  <c r="GK520" i="1"/>
  <c r="GK521" i="1"/>
  <c r="GK522" i="1"/>
  <c r="GK523" i="1"/>
  <c r="GK524" i="1"/>
  <c r="GK525" i="1"/>
  <c r="FB502" i="1"/>
  <c r="FC502" i="1" s="1"/>
  <c r="FB509" i="1"/>
  <c r="FC506" i="1"/>
  <c r="C18" i="2" s="1"/>
  <c r="F4" i="2"/>
  <c r="F5" i="2"/>
  <c r="F6" i="2"/>
  <c r="G3" i="2"/>
  <c r="F3" i="2"/>
  <c r="B1" i="2"/>
  <c r="B18" i="2"/>
  <c r="B15" i="2"/>
  <c r="B13" i="2"/>
  <c r="C11" i="2"/>
  <c r="B11" i="2"/>
  <c r="B9" i="2"/>
  <c r="C7" i="2"/>
  <c r="B7" i="2"/>
  <c r="B5" i="2"/>
  <c r="B3" i="2"/>
  <c r="GC504" i="1"/>
  <c r="GC505" i="1"/>
  <c r="GC506" i="1"/>
  <c r="GC507" i="1"/>
  <c r="GC508" i="1"/>
  <c r="GC509" i="1"/>
  <c r="GC510" i="1"/>
  <c r="GC511" i="1"/>
  <c r="GC512" i="1"/>
  <c r="GC513" i="1"/>
  <c r="GC514" i="1"/>
  <c r="GC515" i="1"/>
  <c r="GC516" i="1"/>
  <c r="GC517" i="1"/>
  <c r="GC518" i="1"/>
  <c r="GC519" i="1"/>
  <c r="GC520" i="1"/>
  <c r="GC521" i="1"/>
  <c r="GC522" i="1"/>
  <c r="GC523" i="1"/>
  <c r="GC524" i="1"/>
  <c r="GC525" i="1"/>
  <c r="GC526" i="1"/>
  <c r="GC527" i="1"/>
  <c r="GC528" i="1"/>
  <c r="GC529" i="1"/>
  <c r="GC530" i="1"/>
  <c r="GC531" i="1"/>
  <c r="GC532" i="1"/>
  <c r="GC533" i="1"/>
  <c r="GC534" i="1"/>
  <c r="GC535" i="1"/>
  <c r="GC536" i="1"/>
  <c r="GC537" i="1"/>
  <c r="GC538" i="1"/>
  <c r="GC539" i="1"/>
  <c r="GC540" i="1"/>
  <c r="GC503" i="1"/>
  <c r="FE512" i="1"/>
  <c r="FU502" i="1"/>
  <c r="FL503" i="1"/>
  <c r="FO503" i="1"/>
  <c r="FU503" i="1"/>
  <c r="FL504" i="1"/>
  <c r="FO504" i="1"/>
  <c r="FU504" i="1"/>
  <c r="FL505" i="1"/>
  <c r="FO505" i="1"/>
  <c r="FU505" i="1"/>
  <c r="FL506" i="1"/>
  <c r="FO506" i="1"/>
  <c r="FU506" i="1"/>
  <c r="FL507" i="1"/>
  <c r="FO507" i="1"/>
  <c r="FU507" i="1"/>
  <c r="FL508" i="1"/>
  <c r="FO508" i="1"/>
  <c r="FU508" i="1"/>
  <c r="FL509" i="1"/>
  <c r="FO509" i="1"/>
  <c r="FU509" i="1"/>
  <c r="FL510" i="1"/>
  <c r="FO510" i="1"/>
  <c r="FU510" i="1"/>
  <c r="FL511" i="1"/>
  <c r="FO511" i="1"/>
  <c r="FU511" i="1"/>
  <c r="FL512" i="1"/>
  <c r="FO512" i="1"/>
  <c r="FU512" i="1"/>
  <c r="FL513" i="1"/>
  <c r="FO513" i="1"/>
  <c r="FU513" i="1"/>
  <c r="FL514" i="1"/>
  <c r="FO514" i="1"/>
  <c r="FU514" i="1"/>
  <c r="FL515" i="1"/>
  <c r="FO515" i="1"/>
  <c r="FU515" i="1"/>
  <c r="FL516" i="1"/>
  <c r="FO516" i="1"/>
  <c r="FU516" i="1"/>
  <c r="FL517" i="1"/>
  <c r="FO517" i="1"/>
  <c r="FU517" i="1"/>
  <c r="FL518" i="1"/>
  <c r="FO518" i="1"/>
  <c r="FU518" i="1"/>
  <c r="FL519" i="1"/>
  <c r="FO519" i="1"/>
  <c r="FU519" i="1"/>
  <c r="FL520" i="1"/>
  <c r="FO520" i="1"/>
  <c r="FU520" i="1"/>
  <c r="FL521" i="1"/>
  <c r="FO521" i="1"/>
  <c r="FU521" i="1"/>
  <c r="FL522" i="1"/>
  <c r="FO522" i="1"/>
  <c r="FU522" i="1"/>
  <c r="FL523" i="1"/>
  <c r="FO523" i="1"/>
  <c r="FU523" i="1"/>
  <c r="FL524" i="1"/>
  <c r="FO524" i="1"/>
  <c r="FU524" i="1"/>
  <c r="FL525" i="1"/>
  <c r="FO525" i="1"/>
  <c r="FU525" i="1"/>
  <c r="FL526" i="1"/>
  <c r="FO526" i="1"/>
  <c r="FU526" i="1"/>
  <c r="FL527" i="1"/>
  <c r="FO527" i="1"/>
  <c r="FU527" i="1"/>
  <c r="FL528" i="1"/>
  <c r="FO528" i="1"/>
  <c r="FU528" i="1"/>
  <c r="FL529" i="1"/>
  <c r="FO529" i="1"/>
  <c r="FU529" i="1"/>
  <c r="FL530" i="1"/>
  <c r="FO530" i="1"/>
  <c r="FU530" i="1"/>
  <c r="FL531" i="1"/>
  <c r="FO531" i="1"/>
  <c r="FU531" i="1"/>
  <c r="FL532" i="1"/>
  <c r="FO532" i="1"/>
  <c r="FU532" i="1"/>
  <c r="FL533" i="1"/>
  <c r="FO533" i="1"/>
  <c r="FU533" i="1"/>
  <c r="FL534" i="1"/>
  <c r="FO534" i="1"/>
  <c r="FU534" i="1"/>
  <c r="FL535" i="1"/>
  <c r="FO535" i="1"/>
  <c r="FU535" i="1"/>
  <c r="FL536" i="1"/>
  <c r="FO536" i="1"/>
  <c r="FU536" i="1"/>
  <c r="FL537" i="1"/>
  <c r="FO537" i="1"/>
  <c r="FU537" i="1"/>
  <c r="FL538" i="1"/>
  <c r="FO538" i="1"/>
  <c r="FU538" i="1"/>
  <c r="FL539" i="1"/>
  <c r="FO539" i="1"/>
  <c r="FU539" i="1"/>
  <c r="FL540" i="1"/>
  <c r="FO540" i="1"/>
  <c r="FU540" i="1"/>
  <c r="FL541" i="1"/>
  <c r="FO541" i="1"/>
  <c r="FU541" i="1"/>
  <c r="FL542" i="1"/>
  <c r="FO542" i="1"/>
  <c r="FU542" i="1"/>
  <c r="FB503" i="1" l="1"/>
  <c r="FE508" i="1"/>
  <c r="FE507" i="1"/>
  <c r="FD547" i="1" l="1"/>
  <c r="FE547" i="1" s="1"/>
  <c r="FF547" i="1" s="1"/>
  <c r="FD546" i="1"/>
  <c r="FE546" i="1" s="1"/>
  <c r="FF546" i="1" s="1"/>
  <c r="FD530" i="1"/>
  <c r="FE530" i="1" s="1"/>
  <c r="FF530" i="1" s="1"/>
  <c r="FD543" i="1"/>
  <c r="FE543" i="1" s="1"/>
  <c r="FF543" i="1" s="1"/>
  <c r="FD535" i="1"/>
  <c r="FE535" i="1" s="1"/>
  <c r="FF535" i="1" s="1"/>
  <c r="FD527" i="1"/>
  <c r="FE527" i="1" s="1"/>
  <c r="FF527" i="1" s="1"/>
  <c r="FD549" i="1"/>
  <c r="FE549" i="1" s="1"/>
  <c r="FF549" i="1" s="1"/>
  <c r="FD541" i="1"/>
  <c r="FE541" i="1" s="1"/>
  <c r="FF541" i="1" s="1"/>
  <c r="FD537" i="1"/>
  <c r="FE537" i="1" s="1"/>
  <c r="FF537" i="1" s="1"/>
  <c r="FD533" i="1"/>
  <c r="FE533" i="1" s="1"/>
  <c r="FF533" i="1" s="1"/>
  <c r="FD525" i="1"/>
  <c r="FE525" i="1" s="1"/>
  <c r="FF525" i="1" s="1"/>
  <c r="FD548" i="1"/>
  <c r="FE548" i="1" s="1"/>
  <c r="FF548" i="1" s="1"/>
  <c r="FD544" i="1"/>
  <c r="FE544" i="1" s="1"/>
  <c r="FF544" i="1" s="1"/>
  <c r="FD536" i="1"/>
  <c r="FE536" i="1" s="1"/>
  <c r="FF536" i="1" s="1"/>
  <c r="FD532" i="1"/>
  <c r="FE532" i="1" s="1"/>
  <c r="FF532" i="1" s="1"/>
  <c r="FD528" i="1"/>
  <c r="FE528" i="1" s="1"/>
  <c r="FF528" i="1" s="1"/>
  <c r="FD524" i="1"/>
  <c r="FE524" i="1" s="1"/>
  <c r="FF524" i="1" s="1"/>
  <c r="FF503" i="1"/>
  <c r="FE503" i="1"/>
  <c r="FE518" i="1"/>
  <c r="FD534" i="1"/>
  <c r="FE534" i="1" s="1"/>
  <c r="FF534" i="1" s="1"/>
  <c r="FD522" i="1"/>
  <c r="FE522" i="1" s="1"/>
  <c r="FF522" i="1" s="1"/>
  <c r="FD542" i="1"/>
  <c r="FE542" i="1" s="1"/>
  <c r="FF542" i="1" s="1"/>
  <c r="FD540" i="1"/>
  <c r="FE540" i="1" s="1"/>
  <c r="FF540" i="1" s="1"/>
  <c r="FD520" i="1"/>
  <c r="FE520" i="1" s="1"/>
  <c r="FF520" i="1" s="1"/>
  <c r="FD531" i="1"/>
  <c r="FE531" i="1" s="1"/>
  <c r="FF531" i="1" s="1"/>
  <c r="FD529" i="1"/>
  <c r="FE529" i="1" s="1"/>
  <c r="FF529" i="1" s="1"/>
  <c r="FC503" i="1"/>
  <c r="FD539" i="1"/>
  <c r="FE539" i="1" s="1"/>
  <c r="FF539" i="1" s="1"/>
  <c r="FD526" i="1"/>
  <c r="FE526" i="1" s="1"/>
  <c r="FF526" i="1" s="1"/>
  <c r="FD545" i="1"/>
  <c r="FE545" i="1" s="1"/>
  <c r="FF545" i="1" s="1"/>
  <c r="FD538" i="1"/>
  <c r="FE538" i="1" s="1"/>
  <c r="FF538" i="1" s="1"/>
  <c r="FD519" i="1"/>
  <c r="FE519" i="1" s="1"/>
  <c r="FD523" i="1"/>
  <c r="FE523" i="1" s="1"/>
  <c r="FF523" i="1" s="1"/>
  <c r="FD521" i="1"/>
  <c r="FE521" i="1" s="1"/>
  <c r="FF521" i="1" s="1"/>
  <c r="FE504" i="1" l="1"/>
  <c r="FG510" i="1" s="1"/>
  <c r="FH520" i="1"/>
  <c r="FD550" i="1"/>
  <c r="FE550" i="1" s="1"/>
  <c r="FF550" i="1" s="1"/>
  <c r="FH530" i="1"/>
  <c r="FH547" i="1"/>
  <c r="FH522" i="1"/>
  <c r="FH518" i="1"/>
  <c r="FF518" i="1"/>
  <c r="FG518" i="1" s="1"/>
  <c r="FH543" i="1"/>
  <c r="FH534" i="1"/>
  <c r="FH545" i="1"/>
  <c r="FH539" i="1"/>
  <c r="FH538" i="1"/>
  <c r="FH548" i="1"/>
  <c r="FH521" i="1"/>
  <c r="FH532" i="1"/>
  <c r="FH529" i="1"/>
  <c r="FH542" i="1"/>
  <c r="FH546" i="1"/>
  <c r="FH549" i="1"/>
  <c r="FH524" i="1"/>
  <c r="FH531" i="1"/>
  <c r="FH527" i="1"/>
  <c r="FH528" i="1"/>
  <c r="FH544" i="1"/>
  <c r="FH540" i="1"/>
  <c r="FH519" i="1"/>
  <c r="FH541" i="1"/>
  <c r="FH535" i="1"/>
  <c r="FH537" i="1"/>
  <c r="FH526" i="1"/>
  <c r="FH523" i="1"/>
  <c r="FF519" i="1"/>
  <c r="FH533" i="1"/>
  <c r="FH525" i="1"/>
  <c r="FH536" i="1"/>
  <c r="C13" i="2" l="1"/>
  <c r="G5" i="2"/>
  <c r="FG519" i="1"/>
  <c r="FG520" i="1" s="1"/>
  <c r="FG521" i="1" s="1"/>
  <c r="FG522" i="1" s="1"/>
  <c r="FG523" i="1" s="1"/>
  <c r="FG524" i="1" s="1"/>
  <c r="FG525" i="1" s="1"/>
  <c r="FG526" i="1" s="1"/>
  <c r="FG527" i="1" s="1"/>
  <c r="FG528" i="1" s="1"/>
  <c r="FG529" i="1" s="1"/>
  <c r="FG530" i="1" s="1"/>
  <c r="FG531" i="1" s="1"/>
  <c r="FG532" i="1" s="1"/>
  <c r="FG533" i="1" s="1"/>
  <c r="FG534" i="1" s="1"/>
  <c r="FG535" i="1" s="1"/>
  <c r="FG536" i="1" s="1"/>
  <c r="FG537" i="1" s="1"/>
  <c r="FG538" i="1" s="1"/>
  <c r="FG539" i="1" s="1"/>
  <c r="FG540" i="1" s="1"/>
  <c r="FG541" i="1" s="1"/>
  <c r="FG542" i="1" s="1"/>
  <c r="FG543" i="1" s="1"/>
  <c r="FG544" i="1" s="1"/>
  <c r="FG545" i="1" s="1"/>
  <c r="FG546" i="1" s="1"/>
  <c r="FG547" i="1" s="1"/>
  <c r="FG548" i="1" s="1"/>
  <c r="FG549" i="1" s="1"/>
  <c r="FG550" i="1" s="1"/>
  <c r="FH550" i="1"/>
  <c r="FD551" i="1" l="1"/>
  <c r="FE551" i="1" s="1"/>
  <c r="FD552" i="1" l="1"/>
  <c r="FE552" i="1" s="1"/>
  <c r="FF552" i="1" s="1"/>
  <c r="FF551" i="1"/>
  <c r="FG551" i="1" s="1"/>
  <c r="FH551" i="1"/>
  <c r="FG552" i="1" l="1"/>
  <c r="FD553" i="1"/>
  <c r="FE553" i="1" s="1"/>
  <c r="FH552" i="1"/>
  <c r="FD554" i="1" l="1"/>
  <c r="FE554" i="1" s="1"/>
  <c r="FH554" i="1" s="1"/>
  <c r="FF553" i="1"/>
  <c r="FG553" i="1" s="1"/>
  <c r="FH553" i="1"/>
  <c r="FD555" i="1" l="1"/>
  <c r="FE555" i="1" s="1"/>
  <c r="FF554" i="1"/>
  <c r="FG554" i="1" s="1"/>
  <c r="FF555" i="1" l="1"/>
  <c r="FG555" i="1" s="1"/>
  <c r="FD556" i="1"/>
  <c r="FE556" i="1" s="1"/>
  <c r="FF556" i="1" s="1"/>
  <c r="FH555" i="1"/>
  <c r="FG556" i="1" l="1"/>
  <c r="FD557" i="1"/>
  <c r="FE557" i="1" s="1"/>
  <c r="FH556" i="1"/>
  <c r="FF557" i="1" l="1"/>
  <c r="FG557" i="1" s="1"/>
  <c r="FH557" i="1"/>
  <c r="FD558" i="1"/>
  <c r="FE558" i="1" s="1"/>
  <c r="FH558" i="1" s="1"/>
  <c r="FF558" i="1" l="1"/>
  <c r="FG558" i="1" s="1"/>
  <c r="FD559" i="1"/>
  <c r="FE559" i="1" s="1"/>
  <c r="FH559" i="1" s="1"/>
  <c r="FF559" i="1" l="1"/>
  <c r="FG559" i="1" s="1"/>
  <c r="FD560" i="1"/>
  <c r="FE560" i="1" s="1"/>
  <c r="FH560" i="1" s="1"/>
  <c r="FD561" i="1" l="1"/>
  <c r="FE561" i="1" s="1"/>
  <c r="FH561" i="1" s="1"/>
  <c r="FF560" i="1"/>
  <c r="FG560" i="1" s="1"/>
  <c r="FF561" i="1" l="1"/>
  <c r="FG561" i="1" s="1"/>
  <c r="FD562" i="1"/>
  <c r="FE562" i="1" s="1"/>
  <c r="FF562" i="1" s="1"/>
  <c r="FH562" i="1" l="1"/>
  <c r="FG562" i="1"/>
  <c r="FD563" i="1"/>
  <c r="FE563" i="1" s="1"/>
  <c r="FF563" i="1" s="1"/>
  <c r="FH563" i="1" l="1"/>
  <c r="FG563" i="1"/>
  <c r="FD564" i="1"/>
  <c r="FE564" i="1" s="1"/>
  <c r="FF564" i="1" l="1"/>
  <c r="FG564" i="1" s="1"/>
  <c r="FH564" i="1"/>
  <c r="FD565" i="1"/>
  <c r="FE565" i="1" s="1"/>
  <c r="FD566" i="1" l="1"/>
  <c r="FE566" i="1" s="1"/>
  <c r="FF566" i="1" s="1"/>
  <c r="FF565" i="1"/>
  <c r="FG565" i="1" s="1"/>
  <c r="FH565" i="1"/>
  <c r="FH566" i="1" l="1"/>
  <c r="FG566" i="1"/>
  <c r="FD567" i="1"/>
  <c r="FE567" i="1" s="1"/>
  <c r="FF567" i="1" l="1"/>
  <c r="FG567" i="1" s="1"/>
  <c r="FH567" i="1"/>
  <c r="FD568" i="1"/>
  <c r="FE568" i="1" s="1"/>
  <c r="FF568" i="1" s="1"/>
  <c r="FG568" i="1" l="1"/>
  <c r="FD569" i="1"/>
  <c r="FE569" i="1" s="1"/>
  <c r="FH568" i="1"/>
  <c r="FD570" i="1" l="1"/>
  <c r="FE570" i="1" s="1"/>
  <c r="FH570" i="1" s="1"/>
  <c r="FF569" i="1"/>
  <c r="FG569" i="1" s="1"/>
  <c r="FH569" i="1"/>
  <c r="FD571" i="1" l="1"/>
  <c r="FE571" i="1" s="1"/>
  <c r="FH571" i="1" s="1"/>
  <c r="FF570" i="1"/>
  <c r="FG570" i="1" s="1"/>
  <c r="FF571" i="1" l="1"/>
  <c r="FG571" i="1" s="1"/>
  <c r="FD572" i="1"/>
  <c r="FE572" i="1" s="1"/>
  <c r="FH572" i="1" s="1"/>
  <c r="FD573" i="1" l="1"/>
  <c r="FE573" i="1" s="1"/>
  <c r="FH573" i="1" s="1"/>
  <c r="FF572" i="1"/>
  <c r="FG572" i="1" s="1"/>
  <c r="FD574" i="1" l="1"/>
  <c r="FE574" i="1" s="1"/>
  <c r="FH574" i="1" s="1"/>
  <c r="FF573" i="1"/>
  <c r="FG573" i="1" s="1"/>
  <c r="FD575" i="1" l="1"/>
  <c r="FE575" i="1" s="1"/>
  <c r="FH575" i="1" s="1"/>
  <c r="FF574" i="1"/>
  <c r="FG574" i="1" s="1"/>
  <c r="FG511" i="1" s="1"/>
  <c r="FG509" i="1" s="1"/>
  <c r="FF575" i="1" l="1"/>
  <c r="FG575" i="1" s="1"/>
  <c r="FD576" i="1"/>
  <c r="FE576" i="1" s="1"/>
  <c r="FD577" i="1" l="1"/>
  <c r="FE577" i="1" s="1"/>
  <c r="FF576" i="1"/>
  <c r="FG576" i="1" s="1"/>
  <c r="FH576" i="1"/>
  <c r="FF577" i="1" l="1"/>
  <c r="FG577" i="1" s="1"/>
  <c r="FD578" i="1"/>
  <c r="FE578" i="1" s="1"/>
  <c r="FF578" i="1" s="1"/>
  <c r="FH577" i="1"/>
  <c r="FG578" i="1" l="1"/>
  <c r="FH578" i="1"/>
  <c r="FD579" i="1"/>
  <c r="FE579" i="1" s="1"/>
  <c r="FH579" i="1" s="1"/>
  <c r="FF579" i="1" l="1"/>
  <c r="FG579" i="1" s="1"/>
  <c r="FD580" i="1"/>
  <c r="FE580" i="1" s="1"/>
  <c r="FH580" i="1" s="1"/>
  <c r="FF580" i="1" l="1"/>
  <c r="FG580" i="1" s="1"/>
  <c r="FD581" i="1"/>
  <c r="FE581" i="1" s="1"/>
  <c r="FF581" i="1" s="1"/>
  <c r="FD582" i="1" l="1"/>
  <c r="FE582" i="1" s="1"/>
  <c r="FH582" i="1" s="1"/>
  <c r="FH581" i="1"/>
  <c r="FG581" i="1"/>
  <c r="FD583" i="1" l="1"/>
  <c r="FE583" i="1" s="1"/>
  <c r="FH583" i="1" s="1"/>
  <c r="FF582" i="1"/>
  <c r="FG582" i="1" s="1"/>
  <c r="G6" i="2" l="1"/>
  <c r="FH510" i="1"/>
  <c r="FF583" i="1"/>
  <c r="FG583" i="1" s="1"/>
  <c r="FD584" i="1"/>
  <c r="FE584" i="1" s="1"/>
  <c r="FH584" i="1" s="1"/>
  <c r="FE513" i="1" l="1"/>
  <c r="FG513" i="1" s="1"/>
  <c r="EY506" i="1"/>
  <c r="EY505" i="1"/>
  <c r="EW505" i="1" s="1"/>
  <c r="FH511" i="1"/>
  <c r="FH512" i="1"/>
  <c r="G4" i="2"/>
  <c r="FD585" i="1"/>
  <c r="FE585" i="1" s="1"/>
  <c r="FF584" i="1"/>
  <c r="FG584" i="1" s="1"/>
  <c r="F7" i="2" l="1"/>
  <c r="FH513" i="1"/>
  <c r="FF585" i="1"/>
  <c r="FG585" i="1" s="1"/>
  <c r="FD586" i="1"/>
  <c r="FE586" i="1" s="1"/>
  <c r="FH586" i="1" s="1"/>
  <c r="FH585" i="1"/>
  <c r="FD587" i="1" l="1"/>
  <c r="FE587" i="1" s="1"/>
  <c r="FF586" i="1"/>
  <c r="FG586" i="1" s="1"/>
  <c r="FF587" i="1" l="1"/>
  <c r="FG587" i="1" s="1"/>
  <c r="FD588" i="1"/>
  <c r="FE588" i="1" s="1"/>
  <c r="FH588" i="1" s="1"/>
  <c r="FH587" i="1"/>
  <c r="FD589" i="1" l="1"/>
  <c r="FE589" i="1" s="1"/>
  <c r="FF588" i="1"/>
  <c r="FG588" i="1" s="1"/>
  <c r="FF589" i="1" l="1"/>
  <c r="FG589" i="1" s="1"/>
  <c r="FD590" i="1"/>
  <c r="FE590" i="1" s="1"/>
  <c r="FH590" i="1" s="1"/>
  <c r="FH589" i="1"/>
  <c r="FF590" i="1" l="1"/>
  <c r="FG590" i="1" s="1"/>
  <c r="FD591" i="1"/>
  <c r="FE591" i="1" s="1"/>
  <c r="FF591" i="1" s="1"/>
  <c r="FG591" i="1" l="1"/>
  <c r="FD592" i="1"/>
  <c r="FE592" i="1" s="1"/>
  <c r="FH591" i="1"/>
  <c r="FD593" i="1" l="1"/>
  <c r="FE593" i="1" s="1"/>
  <c r="FH593" i="1" s="1"/>
  <c r="FF592" i="1"/>
  <c r="FG592" i="1" s="1"/>
  <c r="FH592" i="1"/>
  <c r="FF593" i="1" l="1"/>
  <c r="FG593" i="1" s="1"/>
  <c r="FD594" i="1"/>
  <c r="FE594" i="1" s="1"/>
  <c r="FD595" i="1" l="1"/>
  <c r="FE595" i="1" s="1"/>
  <c r="FH595" i="1" s="1"/>
  <c r="FF594" i="1"/>
  <c r="FG594" i="1" s="1"/>
  <c r="FH594" i="1"/>
  <c r="FF595" i="1" l="1"/>
  <c r="FG595" i="1" s="1"/>
  <c r="FD596" i="1"/>
  <c r="FE596" i="1" s="1"/>
  <c r="FF596" i="1" s="1"/>
  <c r="FD597" i="1"/>
  <c r="FE597" i="1" s="1"/>
  <c r="FF597" i="1" s="1"/>
  <c r="FG596" i="1" l="1"/>
  <c r="FG597" i="1" s="1"/>
  <c r="FH597" i="1"/>
  <c r="FH596" i="1"/>
</calcChain>
</file>

<file path=xl/sharedStrings.xml><?xml version="1.0" encoding="utf-8"?>
<sst xmlns="http://schemas.openxmlformats.org/spreadsheetml/2006/main" count="169" uniqueCount="164">
  <si>
    <t>薪額</t>
    <phoneticPr fontId="2" type="noConversion"/>
  </si>
  <si>
    <t>本薪</t>
    <phoneticPr fontId="2" type="noConversion"/>
  </si>
  <si>
    <t>提撥率</t>
    <phoneticPr fontId="2" type="noConversion"/>
  </si>
  <si>
    <t>通膨調整後薪資</t>
    <phoneticPr fontId="2" type="noConversion"/>
  </si>
  <si>
    <t>年提撥數</t>
    <phoneticPr fontId="2" type="noConversion"/>
  </si>
  <si>
    <t>當年當筆收益</t>
    <phoneticPr fontId="2" type="noConversion"/>
  </si>
  <si>
    <t>個人負擔比例</t>
    <phoneticPr fontId="2" type="noConversion"/>
  </si>
  <si>
    <t>通膨的本俸增加率</t>
    <phoneticPr fontId="2" type="noConversion"/>
  </si>
  <si>
    <t>私校一次金</t>
    <phoneticPr fontId="2" type="noConversion"/>
  </si>
  <si>
    <t>個人提撥數</t>
    <phoneticPr fontId="2" type="noConversion"/>
  </si>
  <si>
    <t>88/5/31(含)以前公保年資(實際須減2個月)</t>
    <phoneticPr fontId="2" type="noConversion"/>
  </si>
  <si>
    <t>項目</t>
    <phoneticPr fontId="2" type="noConversion"/>
  </si>
  <si>
    <t>一次給付</t>
    <phoneticPr fontId="2" type="noConversion"/>
  </si>
  <si>
    <t>或，</t>
    <phoneticPr fontId="2" type="noConversion"/>
  </si>
  <si>
    <t>儲金專戶</t>
    <phoneticPr fontId="2" type="noConversion"/>
  </si>
  <si>
    <t>年度</t>
    <phoneticPr fontId="2" type="noConversion"/>
  </si>
  <si>
    <t>目前年度</t>
    <phoneticPr fontId="2" type="noConversion"/>
  </si>
  <si>
    <t>離退年度</t>
    <phoneticPr fontId="2" type="noConversion"/>
  </si>
  <si>
    <t>年金因子</t>
    <phoneticPr fontId="2" type="noConversion"/>
  </si>
  <si>
    <t>　　　若擇領終身給付，其年金保險投保費率俟儲金管理會公布。</t>
    <phoneticPr fontId="2" type="noConversion"/>
  </si>
  <si>
    <t>勞工保險投保薪資分級表</t>
  </si>
  <si>
    <t>中華民國九十六年十一月一日行政院勞工委員會勞保2字第0960140443號令修正發布，自九十七年一月一日施行</t>
  </si>
  <si>
    <t>投保薪</t>
  </si>
  <si>
    <t>月　薪　資　總　額</t>
  </si>
  <si>
    <t>日投保薪資</t>
  </si>
  <si>
    <t>月投保薪資</t>
  </si>
  <si>
    <t>資等級</t>
  </si>
  <si>
    <t>（實物給付應折現金計算）</t>
  </si>
  <si>
    <t>第 1級</t>
  </si>
  <si>
    <t>１７,２８０元以下</t>
  </si>
  <si>
    <t>１７,２８０元</t>
  </si>
  <si>
    <t>５７６元</t>
  </si>
  <si>
    <t>第 2級</t>
  </si>
  <si>
    <t>１７,２８１元至１７,４００元</t>
  </si>
  <si>
    <t>１７,４００元</t>
  </si>
  <si>
    <t>５８０元</t>
  </si>
  <si>
    <t>第 3級</t>
  </si>
  <si>
    <t>１７,４０１元至１８,３００元</t>
  </si>
  <si>
    <t>１８,３００元</t>
  </si>
  <si>
    <t>６１０元</t>
  </si>
  <si>
    <t>第 4級</t>
  </si>
  <si>
    <t>１８,３０１元至１９,２００元</t>
  </si>
  <si>
    <t>１９,２００元</t>
  </si>
  <si>
    <t>６４０元</t>
  </si>
  <si>
    <t>第 5級</t>
  </si>
  <si>
    <t>１９,２０１元至２０,１００元</t>
  </si>
  <si>
    <t>２０,１００元</t>
  </si>
  <si>
    <t>６７０元</t>
  </si>
  <si>
    <t>第 6級</t>
  </si>
  <si>
    <t>２０,１０１元至２１,０００元</t>
  </si>
  <si>
    <t>２１,０００元</t>
  </si>
  <si>
    <t>７００元</t>
  </si>
  <si>
    <t>第 7級</t>
  </si>
  <si>
    <t>２１,００１元至２１,９００元</t>
  </si>
  <si>
    <t>２１,９００元</t>
  </si>
  <si>
    <t>７３０元</t>
  </si>
  <si>
    <t>第 8級</t>
  </si>
  <si>
    <t>２１,９０１元至２２,８００元</t>
  </si>
  <si>
    <t>２２,８００元</t>
  </si>
  <si>
    <t>７６０元</t>
  </si>
  <si>
    <t>第 9級</t>
  </si>
  <si>
    <t>２２,８０１元至２４,０００元</t>
  </si>
  <si>
    <t>２４,０００元</t>
  </si>
  <si>
    <t>８００元</t>
  </si>
  <si>
    <t>第10級</t>
  </si>
  <si>
    <t>２４,００１元至２５,２００元</t>
  </si>
  <si>
    <t>２５,２００元</t>
  </si>
  <si>
    <t>８４０元</t>
  </si>
  <si>
    <t>第11級</t>
  </si>
  <si>
    <t>２５,２０１元至２６,４００元</t>
  </si>
  <si>
    <t>２６,４００元</t>
  </si>
  <si>
    <t>８８０元</t>
  </si>
  <si>
    <t>第12級</t>
  </si>
  <si>
    <t>２６,４０１元至２７,６００元</t>
  </si>
  <si>
    <t>２７,６００元</t>
  </si>
  <si>
    <t>９２０元</t>
  </si>
  <si>
    <t>第13級</t>
  </si>
  <si>
    <t>２７,６０１元至２８,８００元</t>
  </si>
  <si>
    <t>２８,８００元</t>
  </si>
  <si>
    <t>９６０元</t>
  </si>
  <si>
    <t>第14級</t>
  </si>
  <si>
    <t>２８,８０１元至３０,３００元</t>
  </si>
  <si>
    <t>３０,３００元</t>
  </si>
  <si>
    <t>１,０１０元</t>
  </si>
  <si>
    <t>第15級</t>
  </si>
  <si>
    <t>３０,３０１元至３１,８００元</t>
  </si>
  <si>
    <t>３１,８００元</t>
  </si>
  <si>
    <t>１,０６０元</t>
  </si>
  <si>
    <t>第16級</t>
  </si>
  <si>
    <t>３１,８０１元至３３,３００元</t>
  </si>
  <si>
    <t>３３,３００元</t>
  </si>
  <si>
    <t>１,１１０元</t>
  </si>
  <si>
    <t>第17級</t>
  </si>
  <si>
    <t>３３,３０１元至３４,８００元</t>
  </si>
  <si>
    <t>３４,８００元</t>
  </si>
  <si>
    <t>１,１６０元</t>
  </si>
  <si>
    <t>第18級</t>
  </si>
  <si>
    <t>３４,８０１元至３６,３００元</t>
  </si>
  <si>
    <t>３６,３００元</t>
  </si>
  <si>
    <t>１,２１０元</t>
  </si>
  <si>
    <t>第19級</t>
  </si>
  <si>
    <t>３６,３０１元至３８,２００元</t>
  </si>
  <si>
    <t>３８,２００元</t>
  </si>
  <si>
    <t>１,２７３元</t>
  </si>
  <si>
    <t>第20級</t>
  </si>
  <si>
    <t>３８,２０１元至４０,１００元</t>
  </si>
  <si>
    <t>４０,１００元</t>
  </si>
  <si>
    <t>１,３３７元</t>
  </si>
  <si>
    <t>第21級</t>
  </si>
  <si>
    <t>４０,１０１元至４２,０００元</t>
  </si>
  <si>
    <t>４２,０００元</t>
  </si>
  <si>
    <t>１,４００元</t>
  </si>
  <si>
    <t>第22級</t>
  </si>
  <si>
    <t>４２,００１元以上</t>
  </si>
  <si>
    <t>４３,９００元</t>
  </si>
  <si>
    <t>１,４６３元</t>
  </si>
  <si>
    <t>月投保薪資</t>
    <phoneticPr fontId="2" type="noConversion"/>
  </si>
  <si>
    <t>月繳金額</t>
    <phoneticPr fontId="2" type="noConversion"/>
  </si>
  <si>
    <t>人工輸入</t>
    <phoneticPr fontId="2" type="noConversion"/>
  </si>
  <si>
    <t>舊制年資(98.12.31以前年資)</t>
    <phoneticPr fontId="2" type="noConversion"/>
  </si>
  <si>
    <t>(年)</t>
    <phoneticPr fontId="2" type="noConversion"/>
  </si>
  <si>
    <t>(月)</t>
    <phoneticPr fontId="2" type="noConversion"/>
  </si>
  <si>
    <t>預計儲金年資(99.1.1以後年資)</t>
    <phoneticPr fontId="2" type="noConversion"/>
  </si>
  <si>
    <t>推算退休最後薪額</t>
    <phoneticPr fontId="2" type="noConversion"/>
  </si>
  <si>
    <t>(不低於原參加儲金薪額)</t>
    <phoneticPr fontId="2" type="noConversion"/>
  </si>
  <si>
    <t>法定提撥率</t>
    <phoneticPr fontId="2" type="noConversion"/>
  </si>
  <si>
    <t>本試算表僅供參考，實際金額以核定為準</t>
  </si>
  <si>
    <t>私立學校退撫儲金試算表</t>
    <phoneticPr fontId="2" type="noConversion"/>
  </si>
  <si>
    <t>輸入個人資料與假設</t>
    <phoneticPr fontId="2" type="noConversion"/>
  </si>
  <si>
    <t>退休金試算結果</t>
    <phoneticPr fontId="2" type="noConversion"/>
  </si>
  <si>
    <t>實際年資</t>
    <phoneticPr fontId="2" type="noConversion"/>
  </si>
  <si>
    <t>整年資給付月數</t>
    <phoneticPr fontId="2" type="noConversion"/>
  </si>
  <si>
    <t>畸零月數給付標準(分子)</t>
    <phoneticPr fontId="2" type="noConversion"/>
  </si>
  <si>
    <t>實際給付月數</t>
    <phoneticPr fontId="2" type="noConversion"/>
  </si>
  <si>
    <t>私校舊制年資</t>
    <phoneticPr fontId="2" type="noConversion"/>
  </si>
  <si>
    <t>基數</t>
    <phoneticPr fontId="2" type="noConversion"/>
  </si>
  <si>
    <t>公校新制年資</t>
    <phoneticPr fontId="2" type="noConversion"/>
  </si>
  <si>
    <t>年級</t>
    <phoneticPr fontId="2" type="noConversion"/>
  </si>
  <si>
    <t>參加儲金薪額</t>
    <phoneticPr fontId="2" type="noConversion"/>
  </si>
  <si>
    <t>本職最高薪額</t>
    <phoneticPr fontId="2" type="noConversion"/>
  </si>
  <si>
    <t>最後本薪</t>
    <phoneticPr fontId="2" type="noConversion"/>
  </si>
  <si>
    <t>預計年收益率(%)</t>
    <phoneticPr fontId="2" type="noConversion"/>
  </si>
  <si>
    <t>年金保險利率</t>
    <phoneticPr fontId="2" type="noConversion"/>
  </si>
  <si>
    <t>金額（新台幣：元）</t>
    <phoneticPr fontId="2" type="noConversion"/>
  </si>
  <si>
    <t>輸入本職最高薪級</t>
    <phoneticPr fontId="2" type="noConversion"/>
  </si>
  <si>
    <t>舊制部分</t>
    <phoneticPr fontId="2" type="noConversion"/>
  </si>
  <si>
    <t>自提</t>
    <phoneticPr fontId="2" type="noConversion"/>
  </si>
  <si>
    <t>儲金部分</t>
    <phoneticPr fontId="2" type="noConversion"/>
  </si>
  <si>
    <t>校提</t>
    <phoneticPr fontId="2" type="noConversion"/>
  </si>
  <si>
    <t>公提</t>
    <phoneticPr fontId="2" type="noConversion"/>
  </si>
  <si>
    <t>定期給付（月）</t>
    <phoneticPr fontId="2" type="noConversion"/>
  </si>
  <si>
    <t>孳息</t>
    <phoneticPr fontId="2" type="noConversion"/>
  </si>
  <si>
    <r>
      <t>定期給付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)</t>
    </r>
    <phoneticPr fontId="2" type="noConversion"/>
  </si>
  <si>
    <t>說明：安全性層級須設為中級，請在EXCEL［工具］、［選項］下，［安全性］標籤內［巨集安全性］中選取。</t>
    <phoneticPr fontId="2" type="noConversion"/>
  </si>
  <si>
    <t xml:space="preserve"> 說明：定期給付以平均餘命25年，利率2.0%為例。</t>
    <phoneticPr fontId="2" type="noConversion"/>
  </si>
  <si>
    <t>建議參加儲金薪額</t>
    <phoneticPr fontId="2" type="noConversion"/>
  </si>
  <si>
    <t>建議參加儲金薪額</t>
    <phoneticPr fontId="2" type="noConversion"/>
  </si>
  <si>
    <t>高中</t>
    <phoneticPr fontId="2" type="noConversion"/>
  </si>
  <si>
    <t>大學</t>
    <phoneticPr fontId="2" type="noConversion"/>
  </si>
  <si>
    <t>114年</t>
    <phoneticPr fontId="2" type="noConversion"/>
  </si>
  <si>
    <t>依公務人員俸額表(114.1.1生效)</t>
    <phoneticPr fontId="2" type="noConversion"/>
  </si>
  <si>
    <t>114.1.1製</t>
    <phoneticPr fontId="2" type="noConversion"/>
  </si>
  <si>
    <t>625元：54160</t>
  </si>
  <si>
    <t>330元：35010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</si>
</sst>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76" formatCode="0.0%"/>
    <numFmt numFmtId="177" formatCode="_-* #,##0_-;\-* #,##0_-;_-* &quot;-&quot;??_-;_-@_-"/>
    <numFmt numFmtId="178" formatCode="0.00_ "/>
    <numFmt numFmtId="179" formatCode="#,##0_);[Red]\(#,##0\)"/>
    <numFmt numFmtId="180" formatCode="0_ "/>
    <numFmt numFmtId="181" formatCode="0;_"/>
    <numFmt numFmtId="182" formatCode="#,##0.000000;[Red]\-#,##0.000000"/>
    <numFmt numFmtId="183" formatCode="#,##0_ "/>
    <numFmt numFmtId="184" formatCode="0.00000%"/>
    <numFmt numFmtId="185" formatCode="0.00_);[Red]\(0.00\)"/>
  </numFmts>
  <fonts count="2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18"/>
      <name val="新細明體"/>
      <family val="1"/>
      <charset val="136"/>
    </font>
    <font>
      <sz val="14"/>
      <name val="新細明體"/>
      <family val="1"/>
      <charset val="136"/>
    </font>
    <font>
      <b/>
      <sz val="18"/>
      <name val="新細明體"/>
      <family val="1"/>
      <charset val="136"/>
    </font>
    <font>
      <sz val="11"/>
      <name val="新細明體"/>
      <family val="1"/>
      <charset val="136"/>
    </font>
    <font>
      <b/>
      <sz val="16"/>
      <name val="新細明體"/>
      <family val="1"/>
      <charset val="136"/>
    </font>
    <font>
      <b/>
      <sz val="14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0"/>
      <name val="新細明體"/>
      <family val="1"/>
      <charset val="136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b/>
      <sz val="8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0"/>
      <name val="Arial"/>
      <family val="2"/>
    </font>
    <font>
      <sz val="14"/>
      <name val="Times New Roman"/>
      <family val="1"/>
    </font>
    <font>
      <sz val="16"/>
      <name val="Times New Roman"/>
      <family val="1"/>
    </font>
    <font>
      <sz val="11.5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7" fillId="0" borderId="2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/>
    <xf numFmtId="9" fontId="4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9" fillId="2" borderId="8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38" fontId="4" fillId="0" borderId="0" xfId="0" applyNumberFormat="1" applyFont="1" applyBorder="1"/>
    <xf numFmtId="0" fontId="5" fillId="0" borderId="0" xfId="0" applyFont="1" applyBorder="1"/>
    <xf numFmtId="38" fontId="0" fillId="0" borderId="4" xfId="0" applyNumberFormat="1" applyBorder="1"/>
    <xf numFmtId="0" fontId="9" fillId="0" borderId="4" xfId="0" applyFont="1" applyBorder="1" applyAlignment="1">
      <alignment horizontal="center"/>
    </xf>
    <xf numFmtId="0" fontId="0" fillId="0" borderId="9" xfId="0" applyBorder="1"/>
    <xf numFmtId="38" fontId="4" fillId="3" borderId="8" xfId="0" applyNumberFormat="1" applyFont="1" applyFill="1" applyBorder="1" applyAlignment="1">
      <alignment horizontal="center"/>
    </xf>
    <xf numFmtId="0" fontId="0" fillId="0" borderId="2" xfId="0" applyBorder="1" applyAlignment="1">
      <alignment horizontal="right"/>
    </xf>
    <xf numFmtId="0" fontId="1" fillId="0" borderId="0" xfId="0" applyFon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wrapText="1"/>
    </xf>
    <xf numFmtId="38" fontId="11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right"/>
    </xf>
    <xf numFmtId="9" fontId="14" fillId="0" borderId="0" xfId="0" applyNumberFormat="1" applyFont="1"/>
    <xf numFmtId="38" fontId="14" fillId="0" borderId="0" xfId="0" applyNumberFormat="1" applyFont="1"/>
    <xf numFmtId="0" fontId="14" fillId="0" borderId="0" xfId="0" applyFont="1" applyAlignment="1">
      <alignment wrapText="1"/>
    </xf>
    <xf numFmtId="178" fontId="14" fillId="0" borderId="0" xfId="0" applyNumberFormat="1" applyFont="1"/>
    <xf numFmtId="38" fontId="14" fillId="0" borderId="10" xfId="0" applyNumberFormat="1" applyFont="1" applyBorder="1" applyAlignment="1">
      <alignment vertical="center"/>
    </xf>
    <xf numFmtId="38" fontId="14" fillId="0" borderId="0" xfId="0" applyNumberFormat="1" applyFont="1" applyFill="1" applyBorder="1" applyAlignment="1">
      <alignment vertical="center"/>
    </xf>
    <xf numFmtId="0" fontId="13" fillId="0" borderId="11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38" fontId="14" fillId="0" borderId="0" xfId="0" applyNumberFormat="1" applyFont="1" applyBorder="1"/>
    <xf numFmtId="0" fontId="13" fillId="0" borderId="12" xfId="0" applyFont="1" applyBorder="1" applyAlignment="1">
      <alignment horizontal="justify" vertical="top" wrapText="1"/>
    </xf>
    <xf numFmtId="0" fontId="13" fillId="0" borderId="5" xfId="0" applyFont="1" applyBorder="1" applyAlignment="1">
      <alignment horizontal="justify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 indent="2"/>
    </xf>
    <xf numFmtId="0" fontId="13" fillId="0" borderId="3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3" fontId="13" fillId="0" borderId="14" xfId="0" applyNumberFormat="1" applyFont="1" applyBorder="1" applyAlignment="1">
      <alignment horizontal="center" vertical="top" wrapText="1"/>
    </xf>
    <xf numFmtId="180" fontId="14" fillId="0" borderId="0" xfId="0" applyNumberFormat="1" applyFont="1"/>
    <xf numFmtId="0" fontId="18" fillId="0" borderId="0" xfId="0" applyFont="1"/>
    <xf numFmtId="178" fontId="18" fillId="0" borderId="0" xfId="0" applyNumberFormat="1" applyFont="1"/>
    <xf numFmtId="38" fontId="18" fillId="0" borderId="0" xfId="0" applyNumberFormat="1" applyFont="1" applyFill="1" applyBorder="1" applyAlignment="1">
      <alignment vertical="center"/>
    </xf>
    <xf numFmtId="38" fontId="18" fillId="0" borderId="0" xfId="0" applyNumberFormat="1" applyFont="1"/>
    <xf numFmtId="3" fontId="13" fillId="0" borderId="13" xfId="0" applyNumberFormat="1" applyFont="1" applyBorder="1" applyAlignment="1">
      <alignment horizontal="center" vertical="top" wrapText="1"/>
    </xf>
    <xf numFmtId="38" fontId="14" fillId="0" borderId="0" xfId="0" applyNumberFormat="1" applyFont="1" applyBorder="1" applyAlignment="1">
      <alignment vertical="center"/>
    </xf>
    <xf numFmtId="176" fontId="14" fillId="0" borderId="0" xfId="0" applyNumberFormat="1" applyFont="1" applyBorder="1"/>
    <xf numFmtId="0" fontId="13" fillId="0" borderId="5" xfId="0" applyFont="1" applyBorder="1" applyAlignment="1">
      <alignment horizontal="center" vertical="top" wrapText="1"/>
    </xf>
    <xf numFmtId="9" fontId="14" fillId="0" borderId="0" xfId="0" applyNumberFormat="1" applyFont="1" applyBorder="1" applyAlignment="1">
      <alignment horizontal="right"/>
    </xf>
    <xf numFmtId="176" fontId="11" fillId="0" borderId="0" xfId="2" applyNumberFormat="1" applyFont="1"/>
    <xf numFmtId="178" fontId="11" fillId="0" borderId="0" xfId="0" applyNumberFormat="1" applyFont="1"/>
    <xf numFmtId="38" fontId="11" fillId="0" borderId="10" xfId="0" applyNumberFormat="1" applyFont="1" applyBorder="1" applyAlignment="1">
      <alignment vertical="center"/>
    </xf>
    <xf numFmtId="38" fontId="11" fillId="0" borderId="0" xfId="0" applyNumberFormat="1" applyFont="1" applyFill="1" applyBorder="1" applyAlignment="1">
      <alignment vertical="center"/>
    </xf>
    <xf numFmtId="38" fontId="11" fillId="0" borderId="0" xfId="0" applyNumberFormat="1" applyFont="1"/>
    <xf numFmtId="38" fontId="3" fillId="0" borderId="0" xfId="0" applyNumberFormat="1" applyFont="1" applyAlignment="1">
      <alignment horizontal="center"/>
    </xf>
    <xf numFmtId="38" fontId="3" fillId="0" borderId="0" xfId="0" applyNumberFormat="1" applyFont="1" applyBorder="1" applyAlignment="1">
      <alignment horizontal="center"/>
    </xf>
    <xf numFmtId="176" fontId="17" fillId="0" borderId="0" xfId="2" applyNumberFormat="1" applyFont="1" applyAlignment="1">
      <alignment horizontal="center"/>
    </xf>
    <xf numFmtId="38" fontId="3" fillId="0" borderId="0" xfId="0" applyNumberFormat="1" applyFont="1" applyAlignment="1">
      <alignment horizontal="left"/>
    </xf>
    <xf numFmtId="177" fontId="11" fillId="0" borderId="0" xfId="0" applyNumberFormat="1" applyFont="1"/>
    <xf numFmtId="181" fontId="14" fillId="0" borderId="0" xfId="0" applyNumberFormat="1" applyFont="1"/>
    <xf numFmtId="38" fontId="3" fillId="0" borderId="0" xfId="0" applyNumberFormat="1" applyFont="1" applyAlignment="1">
      <alignment horizontal="right"/>
    </xf>
    <xf numFmtId="38" fontId="3" fillId="0" borderId="0" xfId="0" applyNumberFormat="1" applyFont="1" applyBorder="1" applyAlignment="1">
      <alignment horizontal="right"/>
    </xf>
    <xf numFmtId="38" fontId="11" fillId="0" borderId="0" xfId="0" applyNumberFormat="1" applyFont="1" applyBorder="1"/>
    <xf numFmtId="182" fontId="14" fillId="0" borderId="0" xfId="0" applyNumberFormat="1" applyFont="1" applyBorder="1" applyAlignment="1">
      <alignment horizontal="center"/>
    </xf>
    <xf numFmtId="0" fontId="3" fillId="0" borderId="0" xfId="0" applyFont="1"/>
    <xf numFmtId="38" fontId="14" fillId="0" borderId="0" xfId="0" applyNumberFormat="1" applyFont="1" applyBorder="1" applyAlignment="1">
      <alignment horizontal="center"/>
    </xf>
    <xf numFmtId="179" fontId="3" fillId="0" borderId="0" xfId="1" applyNumberFormat="1" applyFont="1" applyAlignment="1">
      <alignment horizontal="center"/>
    </xf>
    <xf numFmtId="38" fontId="19" fillId="0" borderId="0" xfId="0" applyNumberFormat="1" applyFont="1" applyAlignment="1"/>
    <xf numFmtId="0" fontId="20" fillId="0" borderId="0" xfId="0" applyFont="1" applyAlignment="1"/>
    <xf numFmtId="38" fontId="20" fillId="0" borderId="0" xfId="0" applyNumberFormat="1" applyFont="1"/>
    <xf numFmtId="177" fontId="20" fillId="0" borderId="0" xfId="0" applyNumberFormat="1" applyFont="1"/>
    <xf numFmtId="0" fontId="20" fillId="0" borderId="0" xfId="0" applyFont="1"/>
    <xf numFmtId="178" fontId="20" fillId="0" borderId="0" xfId="0" applyNumberFormat="1" applyFont="1"/>
    <xf numFmtId="38" fontId="20" fillId="0" borderId="0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38" fontId="14" fillId="0" borderId="15" xfId="0" applyNumberFormat="1" applyFont="1" applyBorder="1" applyAlignment="1">
      <alignment horizontal="center" vertical="center"/>
    </xf>
    <xf numFmtId="38" fontId="14" fillId="0" borderId="16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Fill="1" applyBorder="1" applyAlignment="1">
      <alignment horizontal="center"/>
    </xf>
    <xf numFmtId="177" fontId="18" fillId="0" borderId="0" xfId="0" applyNumberFormat="1" applyFont="1"/>
    <xf numFmtId="38" fontId="14" fillId="0" borderId="15" xfId="0" applyNumberFormat="1" applyFont="1" applyBorder="1" applyAlignment="1">
      <alignment horizontal="right" vertical="center"/>
    </xf>
    <xf numFmtId="38" fontId="14" fillId="0" borderId="16" xfId="0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center"/>
    </xf>
    <xf numFmtId="177" fontId="14" fillId="0" borderId="0" xfId="0" applyNumberFormat="1" applyFont="1"/>
    <xf numFmtId="3" fontId="13" fillId="0" borderId="17" xfId="0" applyNumberFormat="1" applyFont="1" applyBorder="1" applyAlignment="1">
      <alignment horizontal="center" vertical="top"/>
    </xf>
    <xf numFmtId="3" fontId="13" fillId="0" borderId="18" xfId="0" applyNumberFormat="1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21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left" vertical="top" wrapText="1" indent="2"/>
    </xf>
    <xf numFmtId="0" fontId="13" fillId="0" borderId="23" xfId="0" applyFont="1" applyBorder="1" applyAlignment="1">
      <alignment horizontal="center" vertical="top" wrapText="1"/>
    </xf>
    <xf numFmtId="177" fontId="11" fillId="0" borderId="0" xfId="1" applyNumberFormat="1" applyFont="1" applyBorder="1" applyAlignment="1">
      <alignment horizontal="center"/>
    </xf>
    <xf numFmtId="176" fontId="14" fillId="4" borderId="0" xfId="0" applyNumberFormat="1" applyFont="1" applyFill="1"/>
    <xf numFmtId="38" fontId="11" fillId="4" borderId="15" xfId="0" applyNumberFormat="1" applyFont="1" applyFill="1" applyBorder="1" applyAlignment="1">
      <alignment horizontal="center" vertical="center"/>
    </xf>
    <xf numFmtId="38" fontId="11" fillId="4" borderId="16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38" fontId="1" fillId="6" borderId="10" xfId="0" applyNumberFormat="1" applyFont="1" applyFill="1" applyBorder="1" applyAlignment="1">
      <alignment vertical="center"/>
    </xf>
    <xf numFmtId="0" fontId="1" fillId="6" borderId="10" xfId="0" applyFont="1" applyFill="1" applyBorder="1" applyAlignment="1" applyProtection="1">
      <alignment horizontal="center" vertical="center"/>
      <protection hidden="1"/>
    </xf>
    <xf numFmtId="0" fontId="1" fillId="6" borderId="24" xfId="0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/>
      <protection hidden="1"/>
    </xf>
    <xf numFmtId="3" fontId="22" fillId="0" borderId="0" xfId="0" applyNumberFormat="1" applyFont="1" applyBorder="1" applyAlignment="1" applyProtection="1">
      <alignment horizontal="center" vertical="center"/>
      <protection hidden="1"/>
    </xf>
    <xf numFmtId="38" fontId="1" fillId="0" borderId="0" xfId="0" applyNumberFormat="1" applyFont="1" applyBorder="1" applyAlignment="1">
      <alignment vertical="center"/>
    </xf>
    <xf numFmtId="38" fontId="14" fillId="5" borderId="10" xfId="0" applyNumberFormat="1" applyFont="1" applyFill="1" applyBorder="1" applyAlignment="1">
      <alignment vertical="center"/>
    </xf>
    <xf numFmtId="0" fontId="16" fillId="7" borderId="0" xfId="0" applyFont="1" applyFill="1" applyAlignment="1"/>
    <xf numFmtId="0" fontId="17" fillId="7" borderId="0" xfId="0" applyFont="1" applyFill="1" applyAlignment="1"/>
    <xf numFmtId="38" fontId="17" fillId="7" borderId="0" xfId="0" applyNumberFormat="1" applyFont="1" applyFill="1"/>
    <xf numFmtId="0" fontId="16" fillId="7" borderId="0" xfId="0" applyFont="1" applyFill="1"/>
    <xf numFmtId="179" fontId="16" fillId="7" borderId="0" xfId="1" applyNumberFormat="1" applyFont="1" applyFill="1" applyAlignment="1">
      <alignment horizontal="center"/>
    </xf>
    <xf numFmtId="179" fontId="16" fillId="7" borderId="0" xfId="1" applyNumberFormat="1" applyFont="1" applyFill="1" applyAlignment="1" applyProtection="1">
      <alignment horizontal="center"/>
    </xf>
    <xf numFmtId="38" fontId="16" fillId="7" borderId="0" xfId="0" applyNumberFormat="1" applyFont="1" applyFill="1" applyAlignment="1"/>
    <xf numFmtId="0" fontId="17" fillId="7" borderId="0" xfId="0" applyFont="1" applyFill="1"/>
    <xf numFmtId="38" fontId="3" fillId="7" borderId="16" xfId="0" applyNumberFormat="1" applyFont="1" applyFill="1" applyBorder="1" applyAlignment="1">
      <alignment horizontal="center"/>
    </xf>
    <xf numFmtId="38" fontId="0" fillId="7" borderId="25" xfId="0" applyNumberFormat="1" applyFont="1" applyFill="1" applyBorder="1" applyAlignment="1">
      <alignment horizontal="center"/>
    </xf>
    <xf numFmtId="0" fontId="0" fillId="7" borderId="26" xfId="0" applyFont="1" applyFill="1" applyBorder="1" applyAlignment="1">
      <alignment wrapText="1"/>
    </xf>
    <xf numFmtId="38" fontId="0" fillId="7" borderId="15" xfId="0" applyNumberFormat="1" applyFont="1" applyFill="1" applyBorder="1" applyAlignment="1">
      <alignment horizontal="center" vertical="center"/>
    </xf>
    <xf numFmtId="38" fontId="0" fillId="7" borderId="0" xfId="0" applyNumberFormat="1" applyFont="1" applyFill="1" applyBorder="1" applyAlignment="1">
      <alignment horizontal="center" vertical="center" wrapText="1"/>
    </xf>
    <xf numFmtId="38" fontId="0" fillId="7" borderId="10" xfId="0" applyNumberFormat="1" applyFont="1" applyFill="1" applyBorder="1" applyAlignment="1">
      <alignment vertical="center"/>
    </xf>
    <xf numFmtId="38" fontId="0" fillId="7" borderId="0" xfId="0" applyNumberFormat="1" applyFont="1" applyFill="1" applyBorder="1" applyAlignment="1">
      <alignment vertical="center"/>
    </xf>
    <xf numFmtId="38" fontId="23" fillId="0" borderId="8" xfId="0" applyNumberFormat="1" applyFont="1" applyBorder="1"/>
    <xf numFmtId="38" fontId="23" fillId="0" borderId="8" xfId="0" applyNumberFormat="1" applyFont="1" applyBorder="1" applyAlignment="1">
      <alignment horizontal="right"/>
    </xf>
    <xf numFmtId="38" fontId="24" fillId="0" borderId="8" xfId="0" applyNumberFormat="1" applyFont="1" applyBorder="1" applyAlignment="1">
      <alignment horizontal="center"/>
    </xf>
    <xf numFmtId="38" fontId="24" fillId="0" borderId="8" xfId="0" applyNumberFormat="1" applyFont="1" applyBorder="1"/>
    <xf numFmtId="183" fontId="14" fillId="0" borderId="0" xfId="0" applyNumberFormat="1" applyFont="1"/>
    <xf numFmtId="0" fontId="0" fillId="0" borderId="0" xfId="0" applyFont="1"/>
    <xf numFmtId="184" fontId="20" fillId="0" borderId="0" xfId="2" applyNumberFormat="1" applyFont="1"/>
    <xf numFmtId="38" fontId="0" fillId="0" borderId="0" xfId="0" applyNumberFormat="1" applyFont="1" applyFill="1" applyBorder="1" applyAlignment="1">
      <alignment vertical="center"/>
    </xf>
    <xf numFmtId="185" fontId="9" fillId="2" borderId="8" xfId="0" applyNumberFormat="1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 applyProtection="1">
      <alignment horizontal="center" vertical="center"/>
      <protection hidden="1"/>
    </xf>
    <xf numFmtId="38" fontId="26" fillId="8" borderId="8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38" fontId="25" fillId="0" borderId="27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left" vertical="center" wrapText="1"/>
    </xf>
    <xf numFmtId="38" fontId="25" fillId="0" borderId="27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left" vertical="top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justify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6" xfId="0" applyFont="1" applyBorder="1" applyAlignment="1">
      <alignment horizontal="center" vertical="top" wrapText="1"/>
    </xf>
    <xf numFmtId="0" fontId="13" fillId="0" borderId="37" xfId="0" applyFont="1" applyBorder="1" applyAlignment="1">
      <alignment horizontal="center" vertical="top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r>
              <a:rPr lang="zh-TW" altLang="en-US"/>
              <a:t>儲金部分提撥狀況（新台幣：元）</a:t>
            </a:r>
          </a:p>
        </c:rich>
      </c:tx>
      <c:layout>
        <c:manualLayout>
          <c:xMode val="edge"/>
          <c:yMode val="edge"/>
          <c:x val="0.2250179104970369"/>
          <c:y val="8.8403915726750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561878770879951"/>
          <c:y val="0.30630765373228874"/>
          <c:w val="0.67505379293966383"/>
          <c:h val="0.5720745885882451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sheet2!$FI$510</c:f>
              <c:strCache>
                <c:ptCount val="1"/>
                <c:pt idx="0">
                  <c:v>自提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新細明體"/>
                    <a:ea typeface="新細明體"/>
                    <a:cs typeface="新細明體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sheet2!$FH$510</c:f>
              <c:numCache>
                <c:formatCode>#,##0_);[Red]\(#,##0\)</c:formatCode>
                <c:ptCount val="1"/>
                <c:pt idx="0">
                  <c:v>1021207.32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C4-4735-B3D6-B23FA4E75B9A}"/>
            </c:ext>
          </c:extLst>
        </c:ser>
        <c:ser>
          <c:idx val="1"/>
          <c:order val="1"/>
          <c:tx>
            <c:strRef>
              <c:f>sheet2!$FI$511</c:f>
              <c:strCache>
                <c:ptCount val="1"/>
                <c:pt idx="0">
                  <c:v>校提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新細明體"/>
                    <a:ea typeface="新細明體"/>
                    <a:cs typeface="新細明體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sheet2!$FH$511</c:f>
              <c:numCache>
                <c:formatCode>#,##0_);[Red]\(#,##0\)</c:formatCode>
                <c:ptCount val="1"/>
                <c:pt idx="0">
                  <c:v>948263.94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C4-4735-B3D6-B23FA4E75B9A}"/>
            </c:ext>
          </c:extLst>
        </c:ser>
        <c:ser>
          <c:idx val="2"/>
          <c:order val="2"/>
          <c:tx>
            <c:strRef>
              <c:f>sheet2!$FI$512</c:f>
              <c:strCache>
                <c:ptCount val="1"/>
                <c:pt idx="0">
                  <c:v>公提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新細明體"/>
                    <a:ea typeface="新細明體"/>
                    <a:cs typeface="新細明體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sheet2!$FH$512</c:f>
              <c:numCache>
                <c:formatCode>#,##0_);[Red]\(#,##0\)</c:formatCode>
                <c:ptCount val="1"/>
                <c:pt idx="0">
                  <c:v>948263.94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C4-4735-B3D6-B23FA4E75B9A}"/>
            </c:ext>
          </c:extLst>
        </c:ser>
        <c:ser>
          <c:idx val="3"/>
          <c:order val="3"/>
          <c:tx>
            <c:strRef>
              <c:f>sheet2!$FI$513</c:f>
              <c:strCache>
                <c:ptCount val="1"/>
                <c:pt idx="0">
                  <c:v>孳息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5.1245622774420094E-17"/>
                  <c:y val="-5.333340799077233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5C4-4735-B3D6-B23FA4E75B9A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新細明體"/>
                    <a:ea typeface="新細明體"/>
                    <a:cs typeface="新細明體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sheet2!$FH$513</c:f>
              <c:numCache>
                <c:formatCode>#,##0_);[Red]\(#,##0\)</c:formatCode>
                <c:ptCount val="1"/>
                <c:pt idx="0">
                  <c:v>4.6566128730773926E-10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C4-4735-B3D6-B23FA4E75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9327944"/>
        <c:axId val="309326144"/>
      </c:barChart>
      <c:catAx>
        <c:axId val="189327944"/>
        <c:scaling>
          <c:orientation val="minMax"/>
        </c:scaling>
        <c:delete val="1"/>
        <c:axPos val="b"/>
        <c:majorTickMark val="out"/>
        <c:minorTickMark val="none"/>
        <c:tickLblPos val="nextTo"/>
        <c:crossAx val="309326144"/>
        <c:crosses val="autoZero"/>
        <c:auto val="1"/>
        <c:lblAlgn val="ctr"/>
        <c:lblOffset val="100"/>
        <c:noMultiLvlLbl val="0"/>
      </c:catAx>
      <c:valAx>
        <c:axId val="309326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新細明體"/>
                <a:ea typeface="新細明體"/>
                <a:cs typeface="新細明體"/>
              </a:defRPr>
            </a:pPr>
            <a:endParaRPr lang="zh-TW"/>
          </a:p>
        </c:txPr>
        <c:crossAx val="1893279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73341697067729"/>
          <c:y val="0.36486628360644108"/>
          <c:w val="0.11949707544418586"/>
          <c:h val="0.454957083067319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新細明體"/>
              <a:ea typeface="新細明體"/>
              <a:cs typeface="新細明體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新細明體"/>
          <a:ea typeface="新細明體"/>
          <a:cs typeface="新細明體"/>
        </a:defRPr>
      </a:pPr>
      <a:endParaRPr lang="zh-TW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14</xdr:row>
      <xdr:rowOff>76200</xdr:rowOff>
    </xdr:from>
    <xdr:to>
      <xdr:col>6</xdr:col>
      <xdr:colOff>2914650</xdr:colOff>
      <xdr:row>20</xdr:row>
      <xdr:rowOff>171450</xdr:rowOff>
    </xdr:to>
    <xdr:graphicFrame macro="">
      <xdr:nvGraphicFramePr>
        <xdr:cNvPr id="2082" name="Chart 13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0</xdr:rowOff>
        </xdr:from>
        <xdr:to>
          <xdr:col>2</xdr:col>
          <xdr:colOff>1790700</xdr:colOff>
          <xdr:row>3</xdr:row>
          <xdr:rowOff>19050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5</xdr:row>
          <xdr:rowOff>257175</xdr:rowOff>
        </xdr:from>
        <xdr:to>
          <xdr:col>1</xdr:col>
          <xdr:colOff>1724025</xdr:colOff>
          <xdr:row>7</xdr:row>
          <xdr:rowOff>0</xdr:rowOff>
        </xdr:to>
        <xdr:sp macro="" textlink="">
          <xdr:nvSpPr>
            <xdr:cNvPr id="2051" name="Spin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5</xdr:row>
          <xdr:rowOff>257175</xdr:rowOff>
        </xdr:from>
        <xdr:to>
          <xdr:col>2</xdr:col>
          <xdr:colOff>1733550</xdr:colOff>
          <xdr:row>7</xdr:row>
          <xdr:rowOff>0</xdr:rowOff>
        </xdr:to>
        <xdr:sp macro="" textlink="">
          <xdr:nvSpPr>
            <xdr:cNvPr id="2052" name="Spin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9</xdr:row>
          <xdr:rowOff>257175</xdr:rowOff>
        </xdr:from>
        <xdr:to>
          <xdr:col>1</xdr:col>
          <xdr:colOff>1724025</xdr:colOff>
          <xdr:row>11</xdr:row>
          <xdr:rowOff>0</xdr:rowOff>
        </xdr:to>
        <xdr:sp macro="" textlink="">
          <xdr:nvSpPr>
            <xdr:cNvPr id="2056" name="SpinButton5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9</xdr:row>
          <xdr:rowOff>257175</xdr:rowOff>
        </xdr:from>
        <xdr:to>
          <xdr:col>2</xdr:col>
          <xdr:colOff>1733550</xdr:colOff>
          <xdr:row>11</xdr:row>
          <xdr:rowOff>0</xdr:rowOff>
        </xdr:to>
        <xdr:sp macro="" textlink="">
          <xdr:nvSpPr>
            <xdr:cNvPr id="2057" name="SpinButton6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14</xdr:row>
          <xdr:rowOff>0</xdr:rowOff>
        </xdr:from>
        <xdr:to>
          <xdr:col>2</xdr:col>
          <xdr:colOff>1790700</xdr:colOff>
          <xdr:row>15</xdr:row>
          <xdr:rowOff>19050</xdr:rowOff>
        </xdr:to>
        <xdr:sp macro="" textlink="">
          <xdr:nvSpPr>
            <xdr:cNvPr id="2058" name="ComboBox3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17</xdr:row>
          <xdr:rowOff>0</xdr:rowOff>
        </xdr:from>
        <xdr:to>
          <xdr:col>2</xdr:col>
          <xdr:colOff>1733550</xdr:colOff>
          <xdr:row>18</xdr:row>
          <xdr:rowOff>9525</xdr:rowOff>
        </xdr:to>
        <xdr:sp macro="" textlink="">
          <xdr:nvSpPr>
            <xdr:cNvPr id="2060" name="SpinButton3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7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image" Target="../media/image3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H23"/>
  <sheetViews>
    <sheetView tabSelected="1" zoomScaleNormal="100" zoomScaleSheetLayoutView="98" workbookViewId="0">
      <selection activeCell="C3" sqref="C3"/>
    </sheetView>
  </sheetViews>
  <sheetFormatPr defaultRowHeight="16.5" x14ac:dyDescent="0.25"/>
  <cols>
    <col min="1" max="1" width="1.625" customWidth="1"/>
    <col min="2" max="2" width="27.25" customWidth="1"/>
    <col min="3" max="3" width="38.25" customWidth="1"/>
    <col min="4" max="5" width="1.625" customWidth="1"/>
    <col min="6" max="6" width="20.625" customWidth="1"/>
    <col min="7" max="7" width="39.625" customWidth="1"/>
    <col min="8" max="8" width="1.625" customWidth="1"/>
  </cols>
  <sheetData>
    <row r="1" spans="1:8" ht="26.25" thickBot="1" x14ac:dyDescent="0.45">
      <c r="A1" s="27"/>
      <c r="B1" s="6" t="str">
        <f>sheet2!FA501</f>
        <v>私立學校退撫儲金試算表</v>
      </c>
      <c r="C1" s="5"/>
      <c r="D1" s="5"/>
      <c r="E1" s="5"/>
      <c r="F1" s="6"/>
      <c r="G1" s="29" t="s">
        <v>161</v>
      </c>
      <c r="H1" s="7"/>
    </row>
    <row r="2" spans="1:8" ht="21" x14ac:dyDescent="0.3">
      <c r="A2" s="17"/>
      <c r="B2" s="149" t="s">
        <v>128</v>
      </c>
      <c r="C2" s="149"/>
      <c r="D2" s="26"/>
      <c r="F2" s="149" t="s">
        <v>129</v>
      </c>
      <c r="G2" s="149"/>
      <c r="H2" s="8"/>
    </row>
    <row r="3" spans="1:8" ht="21" x14ac:dyDescent="0.3">
      <c r="A3" s="17"/>
      <c r="B3" s="21" t="str">
        <f>sheet2!FA502</f>
        <v>參加儲金薪額</v>
      </c>
      <c r="D3" s="8"/>
      <c r="F3" s="28" t="str">
        <f>sheet2!FF508</f>
        <v>項目</v>
      </c>
      <c r="G3" s="28" t="str">
        <f>sheet2!FG508</f>
        <v>金額（新台幣：元）</v>
      </c>
      <c r="H3" s="25"/>
    </row>
    <row r="4" spans="1:8" ht="21" customHeight="1" x14ac:dyDescent="0.3">
      <c r="A4" s="17"/>
      <c r="B4" s="21" t="s">
        <v>155</v>
      </c>
      <c r="C4" s="20" t="str">
        <f>"高中 / 大學教師：" &amp; sheet2!FB513 &amp; " / " &amp; sheet2!FC513</f>
        <v>高中 / 大學教師：410 / 525</v>
      </c>
      <c r="D4" s="8"/>
      <c r="F4" s="136" t="str">
        <f>sheet2!FF509</f>
        <v>一次給付</v>
      </c>
      <c r="G4" s="138">
        <f>sheet2!FG509</f>
        <v>3909355.2</v>
      </c>
      <c r="H4" s="25"/>
    </row>
    <row r="5" spans="1:8" ht="21" x14ac:dyDescent="0.3">
      <c r="A5" s="17"/>
      <c r="B5" s="21" t="str">
        <f>sheet2!FA504</f>
        <v>舊制年資(98.12.31以前年資)</v>
      </c>
      <c r="D5" s="8"/>
      <c r="F5" s="137" t="str">
        <f>sheet2!FF510</f>
        <v>舊制部分</v>
      </c>
      <c r="G5" s="139">
        <f>sheet2!FG510</f>
        <v>991620</v>
      </c>
      <c r="H5" s="25"/>
    </row>
    <row r="6" spans="1:8" ht="21" x14ac:dyDescent="0.3">
      <c r="A6" s="17"/>
      <c r="B6" s="22" t="s">
        <v>120</v>
      </c>
      <c r="C6" s="2" t="s">
        <v>121</v>
      </c>
      <c r="D6" s="9"/>
      <c r="F6" s="137" t="str">
        <f>sheet2!FF511</f>
        <v>儲金部分</v>
      </c>
      <c r="G6" s="139">
        <f>sheet2!FG511</f>
        <v>2917735.2</v>
      </c>
      <c r="H6" s="25"/>
    </row>
    <row r="7" spans="1:8" ht="21" customHeight="1" x14ac:dyDescent="0.25">
      <c r="A7" s="17"/>
      <c r="B7" s="20">
        <f>sheet2!FB504</f>
        <v>9</v>
      </c>
      <c r="C7" s="20">
        <f>sheet2!FC504</f>
        <v>5</v>
      </c>
      <c r="D7" s="10"/>
      <c r="F7" s="156" t="str">
        <f>sheet2!EW505</f>
        <v>定期給付：
每年領取金額 = 一次給付金額*0.05。例如：一次給付金額為3,909,355元，則每年領取金額=3,909,355元*0.05=195,468元。
註1：定期給付之計算方式是在設算利率2%，期末領取及領取期間25年等假設下所進行之估算。
註2：本表之試算結果是依所輸入之個人資料及假設計算而得，不代表退休時實際領取金額。
註3：退休金實際領取金額須視實際工作年資、提撥金額、收益率及年金保險商品而定，如需詳細說明，請電洽儲金管理會(02-23962880)。</v>
      </c>
      <c r="G7" s="156"/>
      <c r="H7" s="25"/>
    </row>
    <row r="8" spans="1:8" ht="21" customHeight="1" x14ac:dyDescent="0.25">
      <c r="A8" s="17"/>
      <c r="B8" s="18"/>
      <c r="D8" s="8"/>
      <c r="F8" s="157"/>
      <c r="G8" s="157"/>
      <c r="H8" s="8"/>
    </row>
    <row r="9" spans="1:8" ht="21" x14ac:dyDescent="0.3">
      <c r="A9" s="17"/>
      <c r="B9" s="21" t="str">
        <f>sheet2!FA505</f>
        <v>預計儲金年資(99.1.1以後年資)</v>
      </c>
      <c r="D9" s="8"/>
      <c r="F9" s="157"/>
      <c r="G9" s="157"/>
      <c r="H9" s="8"/>
    </row>
    <row r="10" spans="1:8" ht="21" x14ac:dyDescent="0.3">
      <c r="A10" s="17"/>
      <c r="B10" s="22" t="s">
        <v>120</v>
      </c>
      <c r="C10" s="2" t="s">
        <v>121</v>
      </c>
      <c r="D10" s="9"/>
      <c r="F10" s="157"/>
      <c r="G10" s="157"/>
      <c r="H10" s="8"/>
    </row>
    <row r="11" spans="1:8" ht="21" x14ac:dyDescent="0.25">
      <c r="A11" s="17"/>
      <c r="B11" s="20">
        <f>sheet2!FB505</f>
        <v>20</v>
      </c>
      <c r="C11" s="20">
        <f>sheet2!FC505</f>
        <v>7</v>
      </c>
      <c r="D11" s="10"/>
      <c r="F11" s="157"/>
      <c r="G11" s="157"/>
      <c r="H11" s="8"/>
    </row>
    <row r="12" spans="1:8" ht="21.75" customHeight="1" x14ac:dyDescent="0.25">
      <c r="A12" s="17"/>
      <c r="B12" s="18"/>
      <c r="D12" s="8"/>
      <c r="F12" s="157"/>
      <c r="G12" s="157"/>
      <c r="H12" s="8"/>
    </row>
    <row r="13" spans="1:8" ht="21" x14ac:dyDescent="0.3">
      <c r="A13" s="17"/>
      <c r="B13" s="23" t="str">
        <f>sheet2!FD503</f>
        <v>推算退休最後薪額</v>
      </c>
      <c r="C13" s="1" t="str">
        <f>CONCATENATE(sheet2!FE503," 元：",sheet2!FE504)</f>
        <v>625 元：54160</v>
      </c>
      <c r="D13" s="11"/>
      <c r="F13" s="157"/>
      <c r="G13" s="157"/>
      <c r="H13" s="8"/>
    </row>
    <row r="14" spans="1:8" ht="12" customHeight="1" x14ac:dyDescent="0.25">
      <c r="A14" s="17"/>
      <c r="B14" s="18"/>
      <c r="D14" s="8"/>
      <c r="F14" s="157"/>
      <c r="G14" s="157"/>
      <c r="H14" s="8"/>
    </row>
    <row r="15" spans="1:8" ht="21" x14ac:dyDescent="0.3">
      <c r="A15" s="17"/>
      <c r="B15" s="21" t="str">
        <f>sheet2!FA503</f>
        <v>本職最高薪額</v>
      </c>
      <c r="D15" s="8"/>
      <c r="G15" s="18"/>
      <c r="H15" s="8"/>
    </row>
    <row r="16" spans="1:8" x14ac:dyDescent="0.25">
      <c r="A16" s="17"/>
      <c r="B16" s="24" t="s">
        <v>124</v>
      </c>
      <c r="D16" s="8"/>
      <c r="G16" s="18"/>
      <c r="H16" s="8"/>
    </row>
    <row r="17" spans="1:8" ht="12" customHeight="1" x14ac:dyDescent="0.25">
      <c r="A17" s="17"/>
      <c r="B17" s="18"/>
      <c r="D17" s="8"/>
      <c r="G17" s="18"/>
      <c r="H17" s="8"/>
    </row>
    <row r="18" spans="1:8" ht="21" x14ac:dyDescent="0.3">
      <c r="A18" s="17"/>
      <c r="B18" s="23" t="str">
        <f>sheet2!FA506</f>
        <v>預計年收益率(%)</v>
      </c>
      <c r="C18" s="144">
        <f>sheet2!FC506*100</f>
        <v>0</v>
      </c>
      <c r="D18" s="10"/>
      <c r="G18" s="18"/>
      <c r="H18" s="8"/>
    </row>
    <row r="19" spans="1:8" ht="12" customHeight="1" x14ac:dyDescent="0.25">
      <c r="A19" s="17"/>
      <c r="B19" s="18"/>
      <c r="D19" s="8"/>
      <c r="G19" s="18"/>
      <c r="H19" s="8"/>
    </row>
    <row r="20" spans="1:8" ht="21" x14ac:dyDescent="0.3">
      <c r="A20" s="17"/>
      <c r="B20" s="21" t="s">
        <v>125</v>
      </c>
      <c r="C20" s="3">
        <v>0.12</v>
      </c>
      <c r="D20" s="12"/>
      <c r="E20" s="17"/>
      <c r="F20" s="18"/>
      <c r="G20" s="18"/>
      <c r="H20" s="8"/>
    </row>
    <row r="21" spans="1:8" ht="17.25" thickBot="1" x14ac:dyDescent="0.3">
      <c r="A21" s="17"/>
      <c r="B21" s="18"/>
      <c r="D21" s="8"/>
      <c r="E21" s="19"/>
      <c r="F21" s="15"/>
      <c r="G21" s="4"/>
      <c r="H21" s="16"/>
    </row>
    <row r="22" spans="1:8" x14ac:dyDescent="0.25">
      <c r="A22" s="17"/>
      <c r="B22" s="147" t="s">
        <v>160</v>
      </c>
      <c r="C22" s="147"/>
      <c r="D22" s="13"/>
      <c r="E22" s="150" t="s">
        <v>153</v>
      </c>
      <c r="F22" s="151"/>
      <c r="G22" s="151"/>
      <c r="H22" s="152"/>
    </row>
    <row r="23" spans="1:8" ht="20.25" thickBot="1" x14ac:dyDescent="0.35">
      <c r="A23" s="19"/>
      <c r="B23" s="148" t="s">
        <v>126</v>
      </c>
      <c r="C23" s="148"/>
      <c r="D23" s="14"/>
      <c r="E23" s="153"/>
      <c r="F23" s="154"/>
      <c r="G23" s="154"/>
      <c r="H23" s="155"/>
    </row>
  </sheetData>
  <sheetProtection algorithmName="SHA-512" hashValue="yoS0UFONa5pk5BK5HdfGgab6BBxeBYwJpJCaiOWcsN9qrWVi/5vWisWyfdXvcihsEat6BtnMeUXvo5hIEdH/QA==" saltValue="Qh3AkyDh3AEkDDL3KAucDw==" spinCount="100000" sheet="1" formatCells="0" formatColumns="0" formatRows="0" insertColumns="0" insertRows="0" insertHyperlinks="0" deleteColumns="0" deleteRows="0" sort="0" autoFilter="0" pivotTables="0"/>
  <mergeCells count="6">
    <mergeCell ref="B22:C22"/>
    <mergeCell ref="B23:C23"/>
    <mergeCell ref="B2:C2"/>
    <mergeCell ref="F2:G2"/>
    <mergeCell ref="E22:H23"/>
    <mergeCell ref="F7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autoLine="0" linkedCell="sheet2!FB501" listFillRange="sheet2!GC502:GC540" r:id="rId5">
            <anchor moveWithCells="1">
              <from>
                <xdr:col>2</xdr:col>
                <xdr:colOff>19050</xdr:colOff>
                <xdr:row>2</xdr:row>
                <xdr:rowOff>0</xdr:rowOff>
              </from>
              <to>
                <xdr:col>2</xdr:col>
                <xdr:colOff>1790700</xdr:colOff>
                <xdr:row>3</xdr:row>
                <xdr:rowOff>19050</xdr:rowOff>
              </to>
            </anchor>
          </controlPr>
        </control>
      </mc:Choice>
      <mc:Fallback>
        <control shapeId="2049" r:id="rId4" name="ComboBox1"/>
      </mc:Fallback>
    </mc:AlternateContent>
    <mc:AlternateContent xmlns:mc="http://schemas.openxmlformats.org/markup-compatibility/2006">
      <mc:Choice Requires="x14">
        <control shapeId="2051" r:id="rId6" name="SpinButton1">
          <controlPr autoLine="0" linkedCell="sheet2!FB504" r:id="rId7">
            <anchor moveWithCells="1">
              <from>
                <xdr:col>1</xdr:col>
                <xdr:colOff>1476375</xdr:colOff>
                <xdr:row>5</xdr:row>
                <xdr:rowOff>257175</xdr:rowOff>
              </from>
              <to>
                <xdr:col>1</xdr:col>
                <xdr:colOff>1724025</xdr:colOff>
                <xdr:row>7</xdr:row>
                <xdr:rowOff>0</xdr:rowOff>
              </to>
            </anchor>
          </controlPr>
        </control>
      </mc:Choice>
      <mc:Fallback>
        <control shapeId="2051" r:id="rId6" name="SpinButton1"/>
      </mc:Fallback>
    </mc:AlternateContent>
    <mc:AlternateContent xmlns:mc="http://schemas.openxmlformats.org/markup-compatibility/2006">
      <mc:Choice Requires="x14">
        <control shapeId="2052" r:id="rId8" name="SpinButton2">
          <controlPr autoLine="0" linkedCell="sheet2!FC504" r:id="rId7">
            <anchor moveWithCells="1">
              <from>
                <xdr:col>2</xdr:col>
                <xdr:colOff>1485900</xdr:colOff>
                <xdr:row>5</xdr:row>
                <xdr:rowOff>257175</xdr:rowOff>
              </from>
              <to>
                <xdr:col>2</xdr:col>
                <xdr:colOff>1733550</xdr:colOff>
                <xdr:row>7</xdr:row>
                <xdr:rowOff>0</xdr:rowOff>
              </to>
            </anchor>
          </controlPr>
        </control>
      </mc:Choice>
      <mc:Fallback>
        <control shapeId="2052" r:id="rId8" name="SpinButton2"/>
      </mc:Fallback>
    </mc:AlternateContent>
    <mc:AlternateContent xmlns:mc="http://schemas.openxmlformats.org/markup-compatibility/2006">
      <mc:Choice Requires="x14">
        <control shapeId="2056" r:id="rId9" name="SpinButton5">
          <controlPr autoLine="0" linkedCell="sheet2!FB505" r:id="rId7">
            <anchor moveWithCells="1">
              <from>
                <xdr:col>1</xdr:col>
                <xdr:colOff>1476375</xdr:colOff>
                <xdr:row>9</xdr:row>
                <xdr:rowOff>257175</xdr:rowOff>
              </from>
              <to>
                <xdr:col>1</xdr:col>
                <xdr:colOff>1724025</xdr:colOff>
                <xdr:row>11</xdr:row>
                <xdr:rowOff>0</xdr:rowOff>
              </to>
            </anchor>
          </controlPr>
        </control>
      </mc:Choice>
      <mc:Fallback>
        <control shapeId="2056" r:id="rId9" name="SpinButton5"/>
      </mc:Fallback>
    </mc:AlternateContent>
    <mc:AlternateContent xmlns:mc="http://schemas.openxmlformats.org/markup-compatibility/2006">
      <mc:Choice Requires="x14">
        <control shapeId="2057" r:id="rId10" name="SpinButton6">
          <controlPr autoLine="0" linkedCell="sheet2!FC505" r:id="rId7">
            <anchor moveWithCells="1">
              <from>
                <xdr:col>2</xdr:col>
                <xdr:colOff>1485900</xdr:colOff>
                <xdr:row>9</xdr:row>
                <xdr:rowOff>257175</xdr:rowOff>
              </from>
              <to>
                <xdr:col>2</xdr:col>
                <xdr:colOff>1733550</xdr:colOff>
                <xdr:row>11</xdr:row>
                <xdr:rowOff>0</xdr:rowOff>
              </to>
            </anchor>
          </controlPr>
        </control>
      </mc:Choice>
      <mc:Fallback>
        <control shapeId="2057" r:id="rId10" name="SpinButton6"/>
      </mc:Fallback>
    </mc:AlternateContent>
    <mc:AlternateContent xmlns:mc="http://schemas.openxmlformats.org/markup-compatibility/2006">
      <mc:Choice Requires="x14">
        <control shapeId="2058" r:id="rId11" name="ComboBox3">
          <controlPr autoLine="0" linkedCell="sheet2!FB510" listFillRange="sheet2!GC519:GC540" r:id="rId12">
            <anchor moveWithCells="1">
              <from>
                <xdr:col>2</xdr:col>
                <xdr:colOff>19050</xdr:colOff>
                <xdr:row>14</xdr:row>
                <xdr:rowOff>0</xdr:rowOff>
              </from>
              <to>
                <xdr:col>2</xdr:col>
                <xdr:colOff>1790700</xdr:colOff>
                <xdr:row>15</xdr:row>
                <xdr:rowOff>19050</xdr:rowOff>
              </to>
            </anchor>
          </controlPr>
        </control>
      </mc:Choice>
      <mc:Fallback>
        <control shapeId="2058" r:id="rId11" name="ComboBox3"/>
      </mc:Fallback>
    </mc:AlternateContent>
    <mc:AlternateContent xmlns:mc="http://schemas.openxmlformats.org/markup-compatibility/2006">
      <mc:Choice Requires="x14">
        <control shapeId="2060" r:id="rId13" name="SpinButton3">
          <controlPr autoLine="0" linkedCell="sheet2!FB506" r:id="rId7">
            <anchor moveWithCells="1">
              <from>
                <xdr:col>2</xdr:col>
                <xdr:colOff>1485900</xdr:colOff>
                <xdr:row>17</xdr:row>
                <xdr:rowOff>0</xdr:rowOff>
              </from>
              <to>
                <xdr:col>2</xdr:col>
                <xdr:colOff>1733550</xdr:colOff>
                <xdr:row>18</xdr:row>
                <xdr:rowOff>9525</xdr:rowOff>
              </to>
            </anchor>
          </controlPr>
        </control>
      </mc:Choice>
      <mc:Fallback>
        <control shapeId="2060" r:id="rId13" name="Spin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EW500:GK597"/>
  <sheetViews>
    <sheetView topLeftCell="BI1" zoomScale="110" zoomScaleNormal="110" workbookViewId="0">
      <selection activeCell="BI246" sqref="BI246"/>
    </sheetView>
  </sheetViews>
  <sheetFormatPr defaultColWidth="9" defaultRowHeight="16.5" x14ac:dyDescent="0.25"/>
  <cols>
    <col min="1" max="152" width="9" style="32"/>
    <col min="153" max="153" width="11.625" style="32" customWidth="1"/>
    <col min="154" max="154" width="9" style="32"/>
    <col min="155" max="155" width="11.375" style="32" bestFit="1" customWidth="1"/>
    <col min="156" max="156" width="9" style="32"/>
    <col min="157" max="157" width="26.125" style="32" customWidth="1"/>
    <col min="158" max="158" width="10.5" style="32" bestFit="1" customWidth="1"/>
    <col min="159" max="159" width="9" style="32"/>
    <col min="160" max="160" width="18.375" style="32" bestFit="1" customWidth="1"/>
    <col min="161" max="161" width="11.125" style="32" customWidth="1"/>
    <col min="162" max="162" width="15.625" style="32" customWidth="1"/>
    <col min="163" max="163" width="20.625" style="32" customWidth="1"/>
    <col min="164" max="164" width="10.875" style="32" customWidth="1"/>
    <col min="165" max="165" width="15" style="32" bestFit="1" customWidth="1"/>
    <col min="166" max="166" width="11.5" style="32" bestFit="1" customWidth="1"/>
    <col min="167" max="167" width="20" style="32" customWidth="1"/>
    <col min="168" max="168" width="12" style="32" customWidth="1"/>
    <col min="169" max="169" width="12.125" style="32" customWidth="1"/>
    <col min="170" max="170" width="14.125" style="32" bestFit="1" customWidth="1"/>
    <col min="171" max="171" width="13.25" style="32" bestFit="1" customWidth="1"/>
    <col min="172" max="172" width="13.625" style="32" bestFit="1" customWidth="1"/>
    <col min="173" max="184" width="9" style="32"/>
    <col min="185" max="185" width="13" style="32" customWidth="1"/>
    <col min="186" max="187" width="9" style="32"/>
    <col min="188" max="188" width="32.5" style="32" customWidth="1"/>
    <col min="189" max="190" width="9" style="32"/>
    <col min="191" max="191" width="12.875" style="32" customWidth="1"/>
    <col min="192" max="16384" width="9" style="32"/>
  </cols>
  <sheetData>
    <row r="500" spans="153:193" s="30" customFormat="1" ht="17.25" thickBot="1" x14ac:dyDescent="0.3">
      <c r="FW500" s="141" t="s">
        <v>159</v>
      </c>
    </row>
    <row r="501" spans="153:193" s="35" customFormat="1" ht="35.25" thickTop="1" thickBot="1" x14ac:dyDescent="0.35">
      <c r="FA501" s="31" t="s">
        <v>127</v>
      </c>
      <c r="FB501" s="141" t="s">
        <v>163</v>
      </c>
      <c r="FC501" s="32"/>
      <c r="FD501" s="32"/>
      <c r="FE501" s="32"/>
      <c r="FF501" s="32"/>
      <c r="FG501" s="32"/>
      <c r="FH501" s="32"/>
      <c r="FI501" s="131"/>
      <c r="FJ501" s="32"/>
      <c r="FK501" s="33" t="s">
        <v>10</v>
      </c>
      <c r="FL501" s="33" t="s">
        <v>130</v>
      </c>
      <c r="FM501" s="33" t="s">
        <v>131</v>
      </c>
      <c r="FN501" s="33" t="s">
        <v>132</v>
      </c>
      <c r="FO501" s="33" t="s">
        <v>133</v>
      </c>
      <c r="FP501" s="32"/>
      <c r="FQ501" s="33" t="s">
        <v>134</v>
      </c>
      <c r="FR501" s="32" t="s">
        <v>135</v>
      </c>
      <c r="FS501" s="32"/>
      <c r="FT501" s="33" t="s">
        <v>136</v>
      </c>
      <c r="FU501" s="32" t="s">
        <v>135</v>
      </c>
      <c r="FV501" s="32"/>
      <c r="FW501" s="111" t="s">
        <v>0</v>
      </c>
      <c r="FX501" s="112" t="s">
        <v>1</v>
      </c>
      <c r="FY501" s="113" t="s">
        <v>137</v>
      </c>
      <c r="FZ501" s="132"/>
      <c r="GA501" s="133"/>
      <c r="GB501" s="34"/>
      <c r="GC501" s="32"/>
      <c r="GD501" s="32"/>
      <c r="GE501" s="160" t="s">
        <v>20</v>
      </c>
      <c r="GF501" s="161"/>
      <c r="GG501" s="161"/>
      <c r="GH501" s="162" t="s">
        <v>21</v>
      </c>
      <c r="GI501" s="163"/>
    </row>
    <row r="502" spans="153:193" s="35" customFormat="1" x14ac:dyDescent="0.25">
      <c r="FA502" s="35" t="s">
        <v>138</v>
      </c>
      <c r="FB502" s="36">
        <f>VALUE(LEFT(FB501,3))</f>
        <v>330</v>
      </c>
      <c r="FC502" s="35">
        <f>VLOOKUP($FB$502,salary,2)</f>
        <v>35010</v>
      </c>
      <c r="FD502" s="35" t="s">
        <v>6</v>
      </c>
      <c r="FE502" s="37">
        <v>0.35</v>
      </c>
      <c r="FH502" s="38"/>
      <c r="FI502" s="130"/>
      <c r="FK502" s="39">
        <v>0</v>
      </c>
      <c r="FL502" s="40">
        <v>0</v>
      </c>
      <c r="FM502" s="39">
        <v>0</v>
      </c>
      <c r="FN502" s="35">
        <v>0</v>
      </c>
      <c r="FO502" s="40">
        <v>0</v>
      </c>
      <c r="FQ502" s="35">
        <v>0</v>
      </c>
      <c r="FR502" s="35">
        <v>0</v>
      </c>
      <c r="FT502" s="35">
        <v>0</v>
      </c>
      <c r="FU502" s="35">
        <f t="shared" ref="FU502:FU516" si="0">FT502*1.5</f>
        <v>0</v>
      </c>
      <c r="FW502" s="115">
        <v>90</v>
      </c>
      <c r="FX502" s="146">
        <v>17390</v>
      </c>
      <c r="FY502" s="35">
        <v>1</v>
      </c>
      <c r="FZ502" s="134"/>
      <c r="GA502" s="135"/>
      <c r="GB502" s="42"/>
      <c r="GC502" s="35" t="str">
        <f>CONCATENATE(" ",FW502,"元：",FX502)</f>
        <v xml:space="preserve"> 90元：17390</v>
      </c>
      <c r="GD502" s="38"/>
      <c r="GE502" s="43" t="s">
        <v>22</v>
      </c>
      <c r="GF502" s="44" t="s">
        <v>23</v>
      </c>
      <c r="GG502" s="164" t="s">
        <v>116</v>
      </c>
      <c r="GH502" s="165"/>
      <c r="GI502" s="168" t="s">
        <v>24</v>
      </c>
      <c r="GJ502" s="172" t="s">
        <v>25</v>
      </c>
      <c r="GK502" s="174" t="s">
        <v>117</v>
      </c>
    </row>
    <row r="503" spans="153:193" s="35" customFormat="1" ht="17.25" thickBot="1" x14ac:dyDescent="0.3">
      <c r="FA503" s="35" t="s">
        <v>139</v>
      </c>
      <c r="FB503" s="36">
        <f>MAX(FB509,FB502)</f>
        <v>625</v>
      </c>
      <c r="FC503" s="35">
        <f>VLOOKUP($FB$503,salary,2)</f>
        <v>54160</v>
      </c>
      <c r="FD503" s="38" t="s">
        <v>123</v>
      </c>
      <c r="FE503" s="35">
        <f>IF($FB$505+$FC$505=0,$FB$502,MIN(VLOOKUP(VLOOKUP($FB$502,salary,3)+$FB$505+IF(MOD($FC$505,12)&lt;=7,0,1),DC,2),$FB$503))</f>
        <v>625</v>
      </c>
      <c r="FF503" s="35">
        <f>IF($FB$505=0,$FB$502,MIN(VLOOKUP(VLOOKUP($FB$502,salary,3)+$FB$505-IF($FC$505&gt;0,0,1),DC,2),FB503))</f>
        <v>625</v>
      </c>
      <c r="FH503" s="45"/>
      <c r="FI503" s="130"/>
      <c r="FK503" s="35">
        <v>1</v>
      </c>
      <c r="FL503" s="40">
        <f t="shared" ref="FL503:FL542" si="1">FK503-2/12</f>
        <v>0.83333333333333337</v>
      </c>
      <c r="FM503" s="35">
        <v>0</v>
      </c>
      <c r="FN503" s="35">
        <v>1</v>
      </c>
      <c r="FO503" s="40">
        <f t="shared" ref="FO503:FO542" si="2">FM503+10*FN503/12</f>
        <v>0.83333333333333337</v>
      </c>
      <c r="FQ503" s="35">
        <v>1</v>
      </c>
      <c r="FR503" s="35">
        <v>1</v>
      </c>
      <c r="FT503" s="35">
        <v>1</v>
      </c>
      <c r="FU503" s="35">
        <f t="shared" si="0"/>
        <v>1.5</v>
      </c>
      <c r="FW503" s="115">
        <v>100</v>
      </c>
      <c r="FX503" s="146">
        <v>18160</v>
      </c>
      <c r="FY503" s="35">
        <v>2</v>
      </c>
      <c r="FZ503" s="134"/>
      <c r="GA503" s="135"/>
      <c r="GB503" s="42"/>
      <c r="GC503" s="35" t="str">
        <f t="shared" ref="GC503:GC540" si="3">CONCATENATE(FW503,"元：",FX503)</f>
        <v>100元：18160</v>
      </c>
      <c r="GD503" s="38"/>
      <c r="GE503" s="46" t="s">
        <v>26</v>
      </c>
      <c r="GF503" s="47" t="s">
        <v>27</v>
      </c>
      <c r="GG503" s="166"/>
      <c r="GH503" s="167"/>
      <c r="GI503" s="169"/>
      <c r="GJ503" s="173"/>
      <c r="GK503" s="174"/>
    </row>
    <row r="504" spans="153:193" s="35" customFormat="1" ht="18" thickTop="1" thickBot="1" x14ac:dyDescent="0.3">
      <c r="FA504" s="35" t="s">
        <v>119</v>
      </c>
      <c r="FB504" s="36">
        <v>9</v>
      </c>
      <c r="FC504" s="35">
        <v>5</v>
      </c>
      <c r="FD504" s="38" t="s">
        <v>140</v>
      </c>
      <c r="FE504" s="35">
        <f>VLOOKUP($FE$503,salary,2)</f>
        <v>54160</v>
      </c>
      <c r="FH504" s="38"/>
      <c r="FI504" s="130"/>
      <c r="FK504" s="35">
        <v>2</v>
      </c>
      <c r="FL504" s="40">
        <f t="shared" si="1"/>
        <v>1.8333333333333333</v>
      </c>
      <c r="FM504" s="35">
        <v>1</v>
      </c>
      <c r="FN504" s="35">
        <v>1</v>
      </c>
      <c r="FO504" s="40">
        <f t="shared" si="2"/>
        <v>1.8333333333333335</v>
      </c>
      <c r="FQ504" s="35">
        <v>2</v>
      </c>
      <c r="FR504" s="35">
        <v>3</v>
      </c>
      <c r="FT504" s="35">
        <v>2</v>
      </c>
      <c r="FU504" s="35">
        <f t="shared" si="0"/>
        <v>3</v>
      </c>
      <c r="FW504" s="115">
        <v>110</v>
      </c>
      <c r="FX504" s="146">
        <v>18920</v>
      </c>
      <c r="FY504" s="35">
        <v>3</v>
      </c>
      <c r="FZ504" s="134"/>
      <c r="GA504" s="135"/>
      <c r="GB504" s="42"/>
      <c r="GC504" s="35" t="str">
        <f t="shared" si="3"/>
        <v>110元：18920</v>
      </c>
      <c r="GD504" s="38"/>
      <c r="GE504" s="48" t="s">
        <v>28</v>
      </c>
      <c r="GF504" s="49" t="s">
        <v>29</v>
      </c>
      <c r="GG504" s="170" t="s">
        <v>30</v>
      </c>
      <c r="GH504" s="171"/>
      <c r="GI504" s="51" t="s">
        <v>31</v>
      </c>
      <c r="GJ504" s="52">
        <v>17280</v>
      </c>
      <c r="GK504" s="53">
        <f>GJ504*7.5%</f>
        <v>1296</v>
      </c>
    </row>
    <row r="505" spans="153:193" s="35" customFormat="1" ht="17.25" thickBot="1" x14ac:dyDescent="0.3">
      <c r="EW505" s="158" t="str">
        <f>"定期給付：
每年領取金額 = 一次給付金額*0.05。例如：一次給付金額為"&amp;TEXT(FG509,"###,###")&amp;"元，則每年領取金額="&amp;TEXT(FG509,"###,###")&amp;"元*0.05="&amp;TEXT(EY505,"###,###")&amp;"元。
註1：定期給付之計算方式是在設算利率2%，期末領取及領取期間25年等假設下所進行之估算。
註2：本表之試算結果是依所輸入之個人資料及假設計算而得，不代表退休時實際領取金額。
註3：退休金實際領取金額須視實際工作年資、提撥金額、收益率及年金保險商品而定，如需詳細說明，請電洽儲金管理會(02-23962880)。"</f>
        <v>定期給付：
每年領取金額 = 一次給付金額*0.05。例如：一次給付金額為3,909,355元，則每年領取金額=3,909,355元*0.05=195,468元。
註1：定期給付之計算方式是在設算利率2%，期末領取及領取期間25年等假設下所進行之估算。
註2：本表之試算結果是依所輸入之個人資料及假設計算而得，不代表退休時實際領取金額。
註3：退休金實際領取金額須視實際工作年資、提撥金額、收益率及年金保險商品而定，如需詳細說明，請電洽儲金管理會(02-23962880)。</v>
      </c>
      <c r="EX505" s="158"/>
      <c r="EY505" s="140">
        <f>FG509*FE511</f>
        <v>195467.76</v>
      </c>
      <c r="FA505" s="35" t="s">
        <v>122</v>
      </c>
      <c r="FB505" s="36">
        <v>20</v>
      </c>
      <c r="FC505" s="35">
        <v>7</v>
      </c>
      <c r="FD505" s="35" t="s">
        <v>152</v>
      </c>
      <c r="FE505" s="35">
        <v>25</v>
      </c>
      <c r="FF505" s="121"/>
      <c r="FG505" s="122"/>
      <c r="FH505" s="123"/>
      <c r="FI505" s="130"/>
      <c r="FJ505" s="54"/>
      <c r="FK505" s="54">
        <v>3</v>
      </c>
      <c r="FL505" s="55">
        <f t="shared" si="1"/>
        <v>2.8333333333333335</v>
      </c>
      <c r="FM505" s="54">
        <v>2</v>
      </c>
      <c r="FN505" s="54">
        <v>1</v>
      </c>
      <c r="FO505" s="55">
        <f t="shared" si="2"/>
        <v>2.8333333333333335</v>
      </c>
      <c r="FP505" s="54"/>
      <c r="FQ505" s="54">
        <v>3</v>
      </c>
      <c r="FR505" s="54">
        <v>5</v>
      </c>
      <c r="FS505" s="54"/>
      <c r="FT505" s="54">
        <v>3</v>
      </c>
      <c r="FU505" s="54">
        <f t="shared" si="0"/>
        <v>4.5</v>
      </c>
      <c r="FV505" s="54"/>
      <c r="FW505" s="115">
        <v>120</v>
      </c>
      <c r="FX505" s="146">
        <v>19690</v>
      </c>
      <c r="FY505" s="54">
        <v>4</v>
      </c>
      <c r="FZ505" s="134"/>
      <c r="GA505" s="135"/>
      <c r="GB505" s="56"/>
      <c r="GC505" s="54" t="str">
        <f t="shared" si="3"/>
        <v>120元：19690</v>
      </c>
      <c r="GD505" s="57"/>
      <c r="GE505" s="48" t="s">
        <v>32</v>
      </c>
      <c r="GF505" s="49" t="s">
        <v>33</v>
      </c>
      <c r="GG505" s="170" t="s">
        <v>34</v>
      </c>
      <c r="GH505" s="171"/>
      <c r="GI505" s="51" t="s">
        <v>35</v>
      </c>
      <c r="GJ505" s="58">
        <v>17400</v>
      </c>
      <c r="GK505" s="53">
        <f t="shared" ref="GK505:GK525" si="4">GJ505*7.5%</f>
        <v>1305</v>
      </c>
    </row>
    <row r="506" spans="153:193" s="35" customFormat="1" ht="17.25" thickBot="1" x14ac:dyDescent="0.3">
      <c r="EW506" s="159"/>
      <c r="EX506" s="159"/>
      <c r="EY506" s="140">
        <f>FG509*FE511/12</f>
        <v>16288.980000000001</v>
      </c>
      <c r="FA506" s="59" t="s">
        <v>141</v>
      </c>
      <c r="FB506" s="36">
        <v>0</v>
      </c>
      <c r="FC506" s="60">
        <f>FB506/2/100</f>
        <v>0</v>
      </c>
      <c r="FD506" s="59" t="s">
        <v>142</v>
      </c>
      <c r="FE506" s="110">
        <v>0.02</v>
      </c>
      <c r="FF506" s="124"/>
      <c r="FG506" s="125"/>
      <c r="FH506" s="126"/>
      <c r="FI506" s="130"/>
      <c r="FJ506" s="54"/>
      <c r="FK506" s="54">
        <v>4</v>
      </c>
      <c r="FL506" s="55">
        <f t="shared" si="1"/>
        <v>3.8333333333333335</v>
      </c>
      <c r="FM506" s="54">
        <v>3</v>
      </c>
      <c r="FN506" s="54">
        <v>1</v>
      </c>
      <c r="FO506" s="55">
        <f t="shared" si="2"/>
        <v>3.8333333333333335</v>
      </c>
      <c r="FP506" s="54"/>
      <c r="FQ506" s="54">
        <v>4</v>
      </c>
      <c r="FR506" s="54">
        <v>7</v>
      </c>
      <c r="FS506" s="54"/>
      <c r="FT506" s="54">
        <v>4</v>
      </c>
      <c r="FU506" s="54">
        <f t="shared" si="0"/>
        <v>6</v>
      </c>
      <c r="FV506" s="54"/>
      <c r="FW506" s="115">
        <v>130</v>
      </c>
      <c r="FX506" s="146">
        <v>20460</v>
      </c>
      <c r="FY506" s="54">
        <v>5</v>
      </c>
      <c r="FZ506" s="134"/>
      <c r="GA506" s="135"/>
      <c r="GB506" s="56"/>
      <c r="GC506" s="54" t="str">
        <f t="shared" si="3"/>
        <v>130元：20460</v>
      </c>
      <c r="GD506" s="57"/>
      <c r="GE506" s="48" t="s">
        <v>36</v>
      </c>
      <c r="GF506" s="61" t="s">
        <v>37</v>
      </c>
      <c r="GG506" s="170" t="s">
        <v>38</v>
      </c>
      <c r="GH506" s="171"/>
      <c r="GI506" s="51" t="s">
        <v>39</v>
      </c>
      <c r="GJ506" s="58">
        <v>18300</v>
      </c>
      <c r="GK506" s="53">
        <f t="shared" si="4"/>
        <v>1372.5</v>
      </c>
    </row>
    <row r="507" spans="153:193" s="35" customFormat="1" ht="17.25" thickBot="1" x14ac:dyDescent="0.3">
      <c r="EW507" s="159"/>
      <c r="EX507" s="159"/>
      <c r="FA507" s="59" t="s">
        <v>2</v>
      </c>
      <c r="FB507" s="62">
        <v>0.12</v>
      </c>
      <c r="FD507" s="35" t="s">
        <v>16</v>
      </c>
      <c r="FE507" s="35">
        <f>VLOOKUP($FB$502,salary,3)</f>
        <v>21</v>
      </c>
      <c r="FF507" s="127"/>
      <c r="FG507" s="122"/>
      <c r="FH507" s="128"/>
      <c r="FI507" s="129"/>
      <c r="FJ507" s="63"/>
      <c r="FK507" s="32">
        <v>5</v>
      </c>
      <c r="FL507" s="64">
        <f t="shared" si="1"/>
        <v>4.833333333333333</v>
      </c>
      <c r="FM507" s="32">
        <v>4</v>
      </c>
      <c r="FN507" s="32">
        <v>1</v>
      </c>
      <c r="FO507" s="64">
        <f t="shared" si="2"/>
        <v>4.833333333333333</v>
      </c>
      <c r="FP507" s="32"/>
      <c r="FQ507" s="32">
        <v>5</v>
      </c>
      <c r="FR507" s="32">
        <v>9</v>
      </c>
      <c r="FS507" s="32"/>
      <c r="FT507" s="32">
        <v>5</v>
      </c>
      <c r="FU507" s="32">
        <f t="shared" si="0"/>
        <v>7.5</v>
      </c>
      <c r="FV507" s="32"/>
      <c r="FW507" s="115">
        <v>140</v>
      </c>
      <c r="FX507" s="146">
        <v>21220</v>
      </c>
      <c r="FY507" s="32">
        <v>6</v>
      </c>
      <c r="FZ507" s="134"/>
      <c r="GA507" s="135"/>
      <c r="GB507" s="66"/>
      <c r="GC507" s="32" t="str">
        <f t="shared" si="3"/>
        <v>140元：21220</v>
      </c>
      <c r="GD507" s="67"/>
      <c r="GE507" s="48" t="s">
        <v>40</v>
      </c>
      <c r="GF507" s="61" t="s">
        <v>41</v>
      </c>
      <c r="GG507" s="170" t="s">
        <v>42</v>
      </c>
      <c r="GH507" s="171"/>
      <c r="GI507" s="51" t="s">
        <v>43</v>
      </c>
      <c r="GJ507" s="58">
        <v>19200</v>
      </c>
      <c r="GK507" s="53">
        <f t="shared" si="4"/>
        <v>1440</v>
      </c>
    </row>
    <row r="508" spans="153:193" s="35" customFormat="1" ht="17.25" thickBot="1" x14ac:dyDescent="0.3">
      <c r="EW508" s="159"/>
      <c r="EX508" s="159"/>
      <c r="FA508" s="59" t="s">
        <v>7</v>
      </c>
      <c r="FB508" s="60">
        <v>0</v>
      </c>
      <c r="FD508" s="35" t="s">
        <v>17</v>
      </c>
      <c r="FE508" s="35">
        <f>VLOOKUP($FB$502,salary,3)+$FB$505-1</f>
        <v>40</v>
      </c>
      <c r="FF508" s="68" t="s">
        <v>11</v>
      </c>
      <c r="FG508" s="69" t="s">
        <v>143</v>
      </c>
      <c r="FH508" s="67"/>
      <c r="FI508" s="67"/>
      <c r="FJ508" s="70"/>
      <c r="FK508" s="54">
        <v>6</v>
      </c>
      <c r="FL508" s="55">
        <f t="shared" si="1"/>
        <v>5.833333333333333</v>
      </c>
      <c r="FM508" s="54">
        <v>5</v>
      </c>
      <c r="FN508" s="54">
        <v>1</v>
      </c>
      <c r="FO508" s="55">
        <f t="shared" si="2"/>
        <v>5.833333333333333</v>
      </c>
      <c r="FP508" s="54"/>
      <c r="FQ508" s="54">
        <v>6</v>
      </c>
      <c r="FR508" s="54">
        <v>11</v>
      </c>
      <c r="FS508" s="54"/>
      <c r="FT508" s="54">
        <v>6</v>
      </c>
      <c r="FU508" s="54">
        <f t="shared" si="0"/>
        <v>9</v>
      </c>
      <c r="FV508" s="54"/>
      <c r="FW508" s="115">
        <v>150</v>
      </c>
      <c r="FX508" s="146">
        <v>21990</v>
      </c>
      <c r="FY508" s="54">
        <v>7</v>
      </c>
      <c r="FZ508" s="134"/>
      <c r="GA508" s="135"/>
      <c r="GB508" s="56"/>
      <c r="GC508" s="54" t="str">
        <f t="shared" si="3"/>
        <v>150元：21990</v>
      </c>
      <c r="GD508" s="57"/>
      <c r="GE508" s="48" t="s">
        <v>44</v>
      </c>
      <c r="GF508" s="61" t="s">
        <v>45</v>
      </c>
      <c r="GG508" s="170" t="s">
        <v>46</v>
      </c>
      <c r="GH508" s="171"/>
      <c r="GI508" s="51" t="s">
        <v>47</v>
      </c>
      <c r="GJ508" s="58">
        <v>20100</v>
      </c>
      <c r="GK508" s="53">
        <f t="shared" si="4"/>
        <v>1507.5</v>
      </c>
    </row>
    <row r="509" spans="153:193" s="35" customFormat="1" ht="17.25" thickBot="1" x14ac:dyDescent="0.3">
      <c r="EW509" s="159"/>
      <c r="EX509" s="159"/>
      <c r="FA509" s="42" t="s">
        <v>144</v>
      </c>
      <c r="FB509" s="35">
        <f>VALUE(LEFT(FB510,3))</f>
        <v>625</v>
      </c>
      <c r="FE509" s="53"/>
      <c r="FF509" s="71" t="s">
        <v>12</v>
      </c>
      <c r="FG509" s="69">
        <f>SUM(FG510:FG511)</f>
        <v>3909355.2</v>
      </c>
      <c r="FH509" s="67"/>
      <c r="FI509" s="67" t="s">
        <v>14</v>
      </c>
      <c r="FJ509" s="72"/>
      <c r="FK509" s="32">
        <v>7</v>
      </c>
      <c r="FL509" s="64">
        <f t="shared" si="1"/>
        <v>6.833333333333333</v>
      </c>
      <c r="FM509" s="32">
        <v>6</v>
      </c>
      <c r="FN509" s="32">
        <v>1</v>
      </c>
      <c r="FO509" s="64">
        <f t="shared" si="2"/>
        <v>6.833333333333333</v>
      </c>
      <c r="FP509" s="32"/>
      <c r="FQ509" s="32">
        <v>7</v>
      </c>
      <c r="FR509" s="32">
        <v>13</v>
      </c>
      <c r="FS509" s="32"/>
      <c r="FT509" s="32">
        <v>7</v>
      </c>
      <c r="FU509" s="32">
        <f t="shared" si="0"/>
        <v>10.5</v>
      </c>
      <c r="FV509" s="32"/>
      <c r="FW509" s="115">
        <v>160</v>
      </c>
      <c r="FX509" s="146">
        <v>22750</v>
      </c>
      <c r="FY509" s="32">
        <v>8</v>
      </c>
      <c r="FZ509" s="134"/>
      <c r="GA509" s="135"/>
      <c r="GB509" s="66"/>
      <c r="GC509" s="32" t="str">
        <f t="shared" si="3"/>
        <v>160元：22750</v>
      </c>
      <c r="GD509" s="67"/>
      <c r="GE509" s="48" t="s">
        <v>48</v>
      </c>
      <c r="GF509" s="61" t="s">
        <v>49</v>
      </c>
      <c r="GG509" s="170" t="s">
        <v>50</v>
      </c>
      <c r="GH509" s="171"/>
      <c r="GI509" s="51" t="s">
        <v>51</v>
      </c>
      <c r="GJ509" s="58">
        <v>21000</v>
      </c>
      <c r="GK509" s="53">
        <f t="shared" si="4"/>
        <v>1575</v>
      </c>
    </row>
    <row r="510" spans="153:193" s="35" customFormat="1" ht="17.25" thickBot="1" x14ac:dyDescent="0.3">
      <c r="EW510" s="159"/>
      <c r="EX510" s="159"/>
      <c r="FB510" s="141" t="s">
        <v>162</v>
      </c>
      <c r="FE510" s="73"/>
      <c r="FF510" s="74" t="s">
        <v>145</v>
      </c>
      <c r="FG510" s="75">
        <f>($FE$504+930)*(VLOOKUP($FB$504,old_service,2)+ROUNDUP($FC$504/6,0))</f>
        <v>991620</v>
      </c>
      <c r="FH510" s="76">
        <f>IF($FB$505=0,0,VLOOKUP($FE$508,DC,8)-VLOOKUP(FE507-1,DC,8))+VLOOKUP($FE$508+1,DC,5)/12*$FC$505*$FE$502</f>
        <v>1021207.32</v>
      </c>
      <c r="FI510" s="67" t="s">
        <v>146</v>
      </c>
      <c r="FJ510" s="72"/>
      <c r="FK510" s="32">
        <v>8</v>
      </c>
      <c r="FL510" s="64">
        <f t="shared" si="1"/>
        <v>7.833333333333333</v>
      </c>
      <c r="FM510" s="32">
        <v>7</v>
      </c>
      <c r="FN510" s="32">
        <v>1</v>
      </c>
      <c r="FO510" s="64">
        <f t="shared" si="2"/>
        <v>7.833333333333333</v>
      </c>
      <c r="FP510" s="32"/>
      <c r="FQ510" s="32">
        <v>8</v>
      </c>
      <c r="FR510" s="32">
        <v>15</v>
      </c>
      <c r="FS510" s="32"/>
      <c r="FT510" s="32">
        <v>8</v>
      </c>
      <c r="FU510" s="32">
        <f t="shared" si="0"/>
        <v>12</v>
      </c>
      <c r="FV510" s="32"/>
      <c r="FW510" s="115">
        <v>170</v>
      </c>
      <c r="FX510" s="146">
        <v>23520</v>
      </c>
      <c r="FY510" s="32">
        <v>9</v>
      </c>
      <c r="FZ510" s="134"/>
      <c r="GA510" s="135"/>
      <c r="GB510" s="66"/>
      <c r="GC510" s="32" t="str">
        <f t="shared" si="3"/>
        <v>170元：23520</v>
      </c>
      <c r="GD510" s="67"/>
      <c r="GE510" s="48" t="s">
        <v>52</v>
      </c>
      <c r="GF510" s="61" t="s">
        <v>53</v>
      </c>
      <c r="GG510" s="170" t="s">
        <v>54</v>
      </c>
      <c r="GH510" s="171"/>
      <c r="GI510" s="51" t="s">
        <v>55</v>
      </c>
      <c r="GJ510" s="58">
        <v>21900</v>
      </c>
      <c r="GK510" s="53">
        <f t="shared" si="4"/>
        <v>1642.5</v>
      </c>
    </row>
    <row r="511" spans="153:193" s="35" customFormat="1" ht="17.25" thickBot="1" x14ac:dyDescent="0.3">
      <c r="EW511" s="159"/>
      <c r="EX511" s="159"/>
      <c r="FE511" s="77">
        <f>ROUND(PMT(FE506,FE505,-1,,1),2)</f>
        <v>0.05</v>
      </c>
      <c r="FF511" s="74" t="s">
        <v>147</v>
      </c>
      <c r="FG511" s="75">
        <f>IF($FB$505=0,0,VLOOKUP($FE$508,DC,7)-VLOOKUP($FE$507-1,DC,7)*(1+$FC$506)^$FB$505)+VLOOKUP($FE$508+1,DC,5)/12*$FC$505</f>
        <v>2917735.2</v>
      </c>
      <c r="FH511" s="67">
        <f>FH510/35*32.5</f>
        <v>948263.94</v>
      </c>
      <c r="FI511" s="67" t="s">
        <v>148</v>
      </c>
      <c r="FJ511" s="72"/>
      <c r="FK511" s="32">
        <v>9</v>
      </c>
      <c r="FL511" s="64">
        <f t="shared" si="1"/>
        <v>8.8333333333333339</v>
      </c>
      <c r="FM511" s="32">
        <v>8</v>
      </c>
      <c r="FN511" s="32">
        <v>1</v>
      </c>
      <c r="FO511" s="64">
        <f t="shared" si="2"/>
        <v>8.8333333333333339</v>
      </c>
      <c r="FP511" s="32"/>
      <c r="FQ511" s="32">
        <v>9</v>
      </c>
      <c r="FR511" s="32">
        <v>17</v>
      </c>
      <c r="FS511" s="32"/>
      <c r="FT511" s="32">
        <v>9</v>
      </c>
      <c r="FU511" s="32">
        <f t="shared" si="0"/>
        <v>13.5</v>
      </c>
      <c r="FV511" s="32"/>
      <c r="FW511" s="115">
        <v>180</v>
      </c>
      <c r="FX511" s="146">
        <v>24290</v>
      </c>
      <c r="FY511" s="32">
        <v>10</v>
      </c>
      <c r="FZ511" s="134"/>
      <c r="GA511" s="135"/>
      <c r="GB511" s="66"/>
      <c r="GC511" s="32" t="str">
        <f t="shared" si="3"/>
        <v>180元：24290</v>
      </c>
      <c r="GD511" s="67"/>
      <c r="GE511" s="48" t="s">
        <v>56</v>
      </c>
      <c r="GF511" s="61" t="s">
        <v>57</v>
      </c>
      <c r="GG511" s="170" t="s">
        <v>58</v>
      </c>
      <c r="GH511" s="171"/>
      <c r="GI511" s="51" t="s">
        <v>59</v>
      </c>
      <c r="GJ511" s="58">
        <v>22800</v>
      </c>
      <c r="GK511" s="53">
        <f t="shared" si="4"/>
        <v>1710</v>
      </c>
    </row>
    <row r="512" spans="153:193" s="35" customFormat="1" ht="17.25" thickBot="1" x14ac:dyDescent="0.3">
      <c r="EW512" s="159"/>
      <c r="EX512" s="159"/>
      <c r="FB512" s="141" t="s">
        <v>157</v>
      </c>
      <c r="FC512" s="141" t="s">
        <v>158</v>
      </c>
      <c r="FD512" s="35" t="s">
        <v>18</v>
      </c>
      <c r="FE512" s="77">
        <f>PMT($FE$506/12,$FE$505*12,-1,,1)</f>
        <v>4.2314909016047259E-3</v>
      </c>
      <c r="FF512" s="78" t="s">
        <v>13</v>
      </c>
      <c r="FG512" s="78"/>
      <c r="FH512" s="67">
        <f>FH510/35*32.5</f>
        <v>948263.94</v>
      </c>
      <c r="FI512" s="67" t="s">
        <v>149</v>
      </c>
      <c r="FJ512" s="72"/>
      <c r="FK512" s="32">
        <v>10</v>
      </c>
      <c r="FL512" s="64">
        <f t="shared" si="1"/>
        <v>9.8333333333333339</v>
      </c>
      <c r="FM512" s="32">
        <v>9</v>
      </c>
      <c r="FN512" s="32">
        <v>1</v>
      </c>
      <c r="FO512" s="64">
        <f t="shared" si="2"/>
        <v>9.8333333333333339</v>
      </c>
      <c r="FP512" s="32"/>
      <c r="FQ512" s="32">
        <v>10</v>
      </c>
      <c r="FR512" s="32">
        <v>19</v>
      </c>
      <c r="FS512" s="32"/>
      <c r="FT512" s="32">
        <v>10</v>
      </c>
      <c r="FU512" s="32">
        <f t="shared" si="0"/>
        <v>15</v>
      </c>
      <c r="FV512" s="32"/>
      <c r="FW512" s="115">
        <v>190</v>
      </c>
      <c r="FX512" s="146">
        <v>25050</v>
      </c>
      <c r="FY512" s="32">
        <v>11</v>
      </c>
      <c r="FZ512" s="134"/>
      <c r="GA512" s="135"/>
      <c r="GB512" s="66"/>
      <c r="GC512" s="32" t="str">
        <f t="shared" si="3"/>
        <v>190元：25050</v>
      </c>
      <c r="GD512" s="67"/>
      <c r="GE512" s="48" t="s">
        <v>60</v>
      </c>
      <c r="GF512" s="61" t="s">
        <v>61</v>
      </c>
      <c r="GG512" s="170" t="s">
        <v>62</v>
      </c>
      <c r="GH512" s="171"/>
      <c r="GI512" s="51" t="s">
        <v>63</v>
      </c>
      <c r="GJ512" s="58">
        <v>24000</v>
      </c>
      <c r="GK512" s="53">
        <f t="shared" si="4"/>
        <v>1800</v>
      </c>
    </row>
    <row r="513" spans="155:193" s="35" customFormat="1" ht="17.25" thickBot="1" x14ac:dyDescent="0.3">
      <c r="FA513" s="143" t="s">
        <v>156</v>
      </c>
      <c r="FB513" s="35">
        <f>VLOOKUP(MATCH(245, $FB$517:$FB$597)+FB504-1, $FA$517:$FB$597, 2, FALSE)</f>
        <v>410</v>
      </c>
      <c r="FC513" s="35">
        <f>VLOOKUP(MATCH(330, $FB$517:$FB$597)+FB504-1, $FA$517:$FB$597, 2, FALSE)</f>
        <v>525</v>
      </c>
      <c r="FD513" s="36" t="s">
        <v>118</v>
      </c>
      <c r="FE513" s="79">
        <f>$FG$509*FE511/12</f>
        <v>16288.980000000001</v>
      </c>
      <c r="FF513" s="71" t="s">
        <v>150</v>
      </c>
      <c r="FG513" s="80">
        <f>IF($FB$504+$FC$504/12+$FB$505+$FC$505/12&lt;15,"(未滿15年)",$FE$513)</f>
        <v>16288.980000000001</v>
      </c>
      <c r="FH513" s="67">
        <f>MAX(FG511-SUM(FH510:FH512),0)</f>
        <v>4.6566128730773926E-10</v>
      </c>
      <c r="FI513" s="67" t="s">
        <v>151</v>
      </c>
      <c r="FJ513" s="72"/>
      <c r="FK513" s="32">
        <v>11</v>
      </c>
      <c r="FL513" s="64">
        <f t="shared" si="1"/>
        <v>10.833333333333334</v>
      </c>
      <c r="FM513" s="32">
        <v>10</v>
      </c>
      <c r="FN513" s="32">
        <v>2</v>
      </c>
      <c r="FO513" s="64">
        <f t="shared" si="2"/>
        <v>11.666666666666666</v>
      </c>
      <c r="FP513" s="32"/>
      <c r="FQ513" s="32">
        <v>11</v>
      </c>
      <c r="FR513" s="32">
        <v>21</v>
      </c>
      <c r="FS513" s="32"/>
      <c r="FT513" s="32">
        <v>11</v>
      </c>
      <c r="FU513" s="32">
        <f t="shared" si="0"/>
        <v>16.5</v>
      </c>
      <c r="FV513" s="32"/>
      <c r="FW513" s="115">
        <v>200</v>
      </c>
      <c r="FX513" s="146">
        <v>25820</v>
      </c>
      <c r="FY513" s="32">
        <v>12</v>
      </c>
      <c r="FZ513" s="134"/>
      <c r="GA513" s="135"/>
      <c r="GB513" s="66"/>
      <c r="GC513" s="32" t="str">
        <f t="shared" si="3"/>
        <v>200元：25820</v>
      </c>
      <c r="GD513" s="67"/>
      <c r="GE513" s="48" t="s">
        <v>64</v>
      </c>
      <c r="GF513" s="61" t="s">
        <v>65</v>
      </c>
      <c r="GG513" s="170" t="s">
        <v>66</v>
      </c>
      <c r="GH513" s="171"/>
      <c r="GI513" s="51" t="s">
        <v>67</v>
      </c>
      <c r="GJ513" s="58">
        <v>25200</v>
      </c>
      <c r="GK513" s="53">
        <f t="shared" si="4"/>
        <v>1890</v>
      </c>
    </row>
    <row r="514" spans="155:193" s="35" customFormat="1" ht="17.25" thickBot="1" x14ac:dyDescent="0.3">
      <c r="FC514" s="35">
        <v>9457</v>
      </c>
      <c r="FF514" s="81" t="s">
        <v>154</v>
      </c>
      <c r="FG514" s="82"/>
      <c r="FH514" s="83"/>
      <c r="FI514" s="83"/>
      <c r="FJ514" s="84"/>
      <c r="FK514" s="85">
        <v>12</v>
      </c>
      <c r="FL514" s="86">
        <f t="shared" si="1"/>
        <v>11.833333333333334</v>
      </c>
      <c r="FM514" s="85">
        <v>12</v>
      </c>
      <c r="FN514" s="85">
        <v>2</v>
      </c>
      <c r="FO514" s="86">
        <f t="shared" si="2"/>
        <v>13.666666666666666</v>
      </c>
      <c r="FP514" s="85"/>
      <c r="FQ514" s="85">
        <v>12</v>
      </c>
      <c r="FR514" s="85">
        <v>23</v>
      </c>
      <c r="FS514" s="85"/>
      <c r="FT514" s="85">
        <v>12</v>
      </c>
      <c r="FU514" s="85">
        <f t="shared" si="0"/>
        <v>18</v>
      </c>
      <c r="FV514" s="85"/>
      <c r="FW514" s="115">
        <v>210</v>
      </c>
      <c r="FX514" s="146">
        <v>26580</v>
      </c>
      <c r="FY514" s="85">
        <v>13</v>
      </c>
      <c r="FZ514" s="134"/>
      <c r="GA514" s="135"/>
      <c r="GB514" s="87"/>
      <c r="GC514" s="85" t="str">
        <f t="shared" si="3"/>
        <v>210元：26580</v>
      </c>
      <c r="GD514" s="83"/>
      <c r="GE514" s="48" t="s">
        <v>68</v>
      </c>
      <c r="GF514" s="61" t="s">
        <v>69</v>
      </c>
      <c r="GG514" s="170" t="s">
        <v>70</v>
      </c>
      <c r="GH514" s="171"/>
      <c r="GI514" s="51" t="s">
        <v>71</v>
      </c>
      <c r="GJ514" s="58">
        <v>26400</v>
      </c>
      <c r="GK514" s="53">
        <f t="shared" si="4"/>
        <v>1980</v>
      </c>
    </row>
    <row r="515" spans="155:193" s="35" customFormat="1" ht="17.25" thickBot="1" x14ac:dyDescent="0.3">
      <c r="FF515" s="81" t="s">
        <v>19</v>
      </c>
      <c r="FG515" s="82"/>
      <c r="FH515" s="85"/>
      <c r="FI515" s="142">
        <f>PMT(2%/12,300,-1,,1)</f>
        <v>4.2314909016047259E-3</v>
      </c>
      <c r="FJ515" s="84"/>
      <c r="FK515" s="85">
        <v>13</v>
      </c>
      <c r="FL515" s="86">
        <f t="shared" si="1"/>
        <v>12.833333333333334</v>
      </c>
      <c r="FM515" s="85">
        <v>14</v>
      </c>
      <c r="FN515" s="85">
        <v>2</v>
      </c>
      <c r="FO515" s="86">
        <f t="shared" si="2"/>
        <v>15.666666666666666</v>
      </c>
      <c r="FP515" s="85"/>
      <c r="FQ515" s="85">
        <v>13</v>
      </c>
      <c r="FR515" s="85">
        <v>25</v>
      </c>
      <c r="FS515" s="85"/>
      <c r="FT515" s="85">
        <v>13</v>
      </c>
      <c r="FU515" s="85">
        <f t="shared" si="0"/>
        <v>19.5</v>
      </c>
      <c r="FV515" s="85"/>
      <c r="FW515" s="115">
        <v>220</v>
      </c>
      <c r="FX515" s="146">
        <v>27350</v>
      </c>
      <c r="FY515" s="85">
        <v>14</v>
      </c>
      <c r="FZ515" s="134"/>
      <c r="GA515" s="135"/>
      <c r="GB515" s="87"/>
      <c r="GC515" s="85" t="str">
        <f t="shared" si="3"/>
        <v>220元：27350</v>
      </c>
      <c r="GD515" s="83"/>
      <c r="GE515" s="48" t="s">
        <v>72</v>
      </c>
      <c r="GF515" s="61" t="s">
        <v>73</v>
      </c>
      <c r="GG515" s="170" t="s">
        <v>74</v>
      </c>
      <c r="GH515" s="171"/>
      <c r="GI515" s="51" t="s">
        <v>75</v>
      </c>
      <c r="GJ515" s="58">
        <v>27600</v>
      </c>
      <c r="GK515" s="53">
        <f t="shared" si="4"/>
        <v>2070</v>
      </c>
    </row>
    <row r="516" spans="155:193" s="35" customFormat="1" ht="17.25" thickBot="1" x14ac:dyDescent="0.3">
      <c r="FA516" s="88" t="s">
        <v>15</v>
      </c>
      <c r="FB516" s="89" t="s">
        <v>0</v>
      </c>
      <c r="FC516" s="90" t="s">
        <v>1</v>
      </c>
      <c r="FD516" s="91" t="s">
        <v>3</v>
      </c>
      <c r="FE516" s="92" t="s">
        <v>4</v>
      </c>
      <c r="FF516" s="92" t="s">
        <v>5</v>
      </c>
      <c r="FG516" s="92" t="s">
        <v>8</v>
      </c>
      <c r="FH516" s="93" t="s">
        <v>9</v>
      </c>
      <c r="FI516" s="57"/>
      <c r="FJ516" s="94"/>
      <c r="FK516" s="54">
        <v>14</v>
      </c>
      <c r="FL516" s="55">
        <f t="shared" si="1"/>
        <v>13.833333333333334</v>
      </c>
      <c r="FM516" s="54">
        <v>16</v>
      </c>
      <c r="FN516" s="54">
        <v>2</v>
      </c>
      <c r="FO516" s="55">
        <f t="shared" si="2"/>
        <v>17.666666666666668</v>
      </c>
      <c r="FP516" s="54"/>
      <c r="FQ516" s="54">
        <v>14</v>
      </c>
      <c r="FR516" s="54">
        <v>27</v>
      </c>
      <c r="FS516" s="54"/>
      <c r="FT516" s="54">
        <v>14</v>
      </c>
      <c r="FU516" s="54">
        <f t="shared" si="0"/>
        <v>21</v>
      </c>
      <c r="FV516" s="54"/>
      <c r="FW516" s="115">
        <v>230</v>
      </c>
      <c r="FX516" s="146">
        <v>28120</v>
      </c>
      <c r="FY516" s="54">
        <v>15</v>
      </c>
      <c r="FZ516" s="134"/>
      <c r="GA516" s="135"/>
      <c r="GB516" s="56"/>
      <c r="GC516" s="54" t="str">
        <f t="shared" si="3"/>
        <v>230元：28120</v>
      </c>
      <c r="GD516" s="57"/>
      <c r="GE516" s="48" t="s">
        <v>76</v>
      </c>
      <c r="GF516" s="61" t="s">
        <v>77</v>
      </c>
      <c r="GG516" s="170" t="s">
        <v>78</v>
      </c>
      <c r="GH516" s="171"/>
      <c r="GI516" s="51" t="s">
        <v>79</v>
      </c>
      <c r="GJ516" s="58">
        <v>28800</v>
      </c>
      <c r="GK516" s="53">
        <f t="shared" si="4"/>
        <v>2160</v>
      </c>
    </row>
    <row r="517" spans="155:193" s="35" customFormat="1" ht="17.25" thickBot="1" x14ac:dyDescent="0.3">
      <c r="EY517" s="141"/>
      <c r="FA517" s="36">
        <v>0</v>
      </c>
      <c r="FB517" s="95">
        <v>0</v>
      </c>
      <c r="FC517" s="96">
        <v>0</v>
      </c>
      <c r="FD517" s="92">
        <v>0</v>
      </c>
      <c r="FE517" s="92">
        <v>0</v>
      </c>
      <c r="FF517" s="92">
        <v>0</v>
      </c>
      <c r="FG517" s="92">
        <v>0</v>
      </c>
      <c r="FH517" s="93">
        <v>0</v>
      </c>
      <c r="FI517" s="57"/>
      <c r="FJ517" s="94"/>
      <c r="FK517" s="54">
        <v>15</v>
      </c>
      <c r="FL517" s="55">
        <f t="shared" si="1"/>
        <v>14.833333333333334</v>
      </c>
      <c r="FM517" s="54">
        <v>18</v>
      </c>
      <c r="FN517" s="54">
        <v>2</v>
      </c>
      <c r="FO517" s="55">
        <f t="shared" si="2"/>
        <v>19.666666666666668</v>
      </c>
      <c r="FP517" s="54"/>
      <c r="FQ517" s="54">
        <v>15</v>
      </c>
      <c r="FR517" s="54">
        <v>31</v>
      </c>
      <c r="FS517" s="54"/>
      <c r="FT517" s="54">
        <v>15</v>
      </c>
      <c r="FU517" s="54">
        <f t="shared" ref="FU517:FU536" si="5">FT517*1.5</f>
        <v>22.5</v>
      </c>
      <c r="FV517" s="54"/>
      <c r="FW517" s="115">
        <v>245</v>
      </c>
      <c r="FX517" s="146">
        <v>29270</v>
      </c>
      <c r="FY517" s="54">
        <v>16</v>
      </c>
      <c r="FZ517" s="134"/>
      <c r="GA517" s="135"/>
      <c r="GB517" s="56"/>
      <c r="GC517" s="54" t="str">
        <f t="shared" si="3"/>
        <v>245元：29270</v>
      </c>
      <c r="GD517" s="57"/>
      <c r="GE517" s="48" t="s">
        <v>80</v>
      </c>
      <c r="GF517" s="61" t="s">
        <v>81</v>
      </c>
      <c r="GG517" s="170" t="s">
        <v>82</v>
      </c>
      <c r="GH517" s="171"/>
      <c r="GI517" s="51" t="s">
        <v>83</v>
      </c>
      <c r="GJ517" s="58">
        <v>30300</v>
      </c>
      <c r="GK517" s="53">
        <f t="shared" si="4"/>
        <v>2272.5</v>
      </c>
    </row>
    <row r="518" spans="155:193" s="35" customFormat="1" ht="17.25" thickBot="1" x14ac:dyDescent="0.3">
      <c r="EY518" s="117"/>
      <c r="EZ518" s="145"/>
      <c r="FA518" s="35">
        <v>1</v>
      </c>
      <c r="FB518" s="120">
        <v>90</v>
      </c>
      <c r="FC518" s="146">
        <v>17390</v>
      </c>
      <c r="FD518" s="97">
        <f>FC518*(1+$FB$508)^(FA518-1)</f>
        <v>17390</v>
      </c>
      <c r="FE518" s="38">
        <f t="shared" ref="FE518:FE549" si="6">FD518*2*$FB$507*12</f>
        <v>50083.199999999997</v>
      </c>
      <c r="FF518" s="38">
        <f t="shared" ref="FF518:FF549" si="7">FV($FC$506/12,12,-FE518/12,,0)-FE518</f>
        <v>0</v>
      </c>
      <c r="FG518" s="38">
        <f>FE518+FF518</f>
        <v>50083.199999999997</v>
      </c>
      <c r="FH518" s="38">
        <f>SUM(FE$518:FE518)*$FE$502</f>
        <v>17529.12</v>
      </c>
      <c r="FI518" s="38"/>
      <c r="FJ518" s="98"/>
      <c r="FK518" s="35">
        <v>16</v>
      </c>
      <c r="FL518" s="40">
        <f t="shared" si="1"/>
        <v>15.833333333333334</v>
      </c>
      <c r="FM518" s="35">
        <v>20</v>
      </c>
      <c r="FN518" s="35">
        <v>3</v>
      </c>
      <c r="FO518" s="40">
        <f t="shared" si="2"/>
        <v>22.5</v>
      </c>
      <c r="FQ518" s="35">
        <v>16</v>
      </c>
      <c r="FR518" s="35">
        <v>33</v>
      </c>
      <c r="FT518" s="35">
        <v>16</v>
      </c>
      <c r="FU518" s="35">
        <f t="shared" si="5"/>
        <v>24</v>
      </c>
      <c r="FW518" s="115">
        <v>260</v>
      </c>
      <c r="FX518" s="146">
        <v>30410</v>
      </c>
      <c r="FY518" s="35">
        <v>17</v>
      </c>
      <c r="FZ518" s="134"/>
      <c r="GA518" s="135"/>
      <c r="GB518" s="42"/>
      <c r="GC518" s="35" t="str">
        <f t="shared" si="3"/>
        <v>260元：30410</v>
      </c>
      <c r="GD518" s="38"/>
      <c r="GE518" s="48" t="s">
        <v>84</v>
      </c>
      <c r="GF518" s="61" t="s">
        <v>85</v>
      </c>
      <c r="GG518" s="170" t="s">
        <v>86</v>
      </c>
      <c r="GH518" s="171"/>
      <c r="GI518" s="51" t="s">
        <v>87</v>
      </c>
      <c r="GJ518" s="58">
        <v>31800</v>
      </c>
      <c r="GK518" s="53">
        <f t="shared" si="4"/>
        <v>2385</v>
      </c>
    </row>
    <row r="519" spans="155:193" s="35" customFormat="1" ht="17.25" thickBot="1" x14ac:dyDescent="0.3">
      <c r="EY519" s="117"/>
      <c r="EZ519" s="145"/>
      <c r="FA519" s="35">
        <v>2</v>
      </c>
      <c r="FB519" s="120">
        <v>100</v>
      </c>
      <c r="FC519" s="146">
        <v>18160</v>
      </c>
      <c r="FD519" s="97">
        <f t="shared" ref="FD519:FD549" si="8">FC519*(1+$FB$508)^(FA519-1)</f>
        <v>18160</v>
      </c>
      <c r="FE519" s="38">
        <f t="shared" si="6"/>
        <v>52300.799999999996</v>
      </c>
      <c r="FF519" s="38">
        <f t="shared" si="7"/>
        <v>0</v>
      </c>
      <c r="FG519" s="38">
        <f t="shared" ref="FG519:FG550" si="9">FG518*(1+$FC$506)+FE519+FF519</f>
        <v>102384</v>
      </c>
      <c r="FH519" s="38">
        <f>SUM(FE$518:FE519)*$FE$502</f>
        <v>35834.399999999994</v>
      </c>
      <c r="FI519" s="38"/>
      <c r="FJ519" s="98"/>
      <c r="FK519" s="35">
        <v>17</v>
      </c>
      <c r="FL519" s="40">
        <f t="shared" si="1"/>
        <v>16.833333333333332</v>
      </c>
      <c r="FM519" s="35">
        <v>23</v>
      </c>
      <c r="FN519" s="35">
        <v>3</v>
      </c>
      <c r="FO519" s="40">
        <f t="shared" si="2"/>
        <v>25.5</v>
      </c>
      <c r="FQ519" s="35">
        <v>17</v>
      </c>
      <c r="FR519" s="35">
        <v>35</v>
      </c>
      <c r="FT519" s="35">
        <v>17</v>
      </c>
      <c r="FU519" s="35">
        <f t="shared" si="5"/>
        <v>25.5</v>
      </c>
      <c r="FW519" s="115">
        <v>275</v>
      </c>
      <c r="FX519" s="146">
        <v>31560</v>
      </c>
      <c r="FY519" s="35">
        <v>18</v>
      </c>
      <c r="FZ519" s="134"/>
      <c r="GA519" s="135"/>
      <c r="GB519" s="42"/>
      <c r="GC519" s="35" t="str">
        <f t="shared" si="3"/>
        <v>275元：31560</v>
      </c>
      <c r="GD519" s="38"/>
      <c r="GE519" s="48" t="s">
        <v>88</v>
      </c>
      <c r="GF519" s="61" t="s">
        <v>89</v>
      </c>
      <c r="GG519" s="170" t="s">
        <v>90</v>
      </c>
      <c r="GH519" s="171"/>
      <c r="GI519" s="51" t="s">
        <v>91</v>
      </c>
      <c r="GJ519" s="58">
        <v>33300</v>
      </c>
      <c r="GK519" s="53">
        <f t="shared" si="4"/>
        <v>2497.5</v>
      </c>
    </row>
    <row r="520" spans="155:193" s="35" customFormat="1" ht="17.25" thickBot="1" x14ac:dyDescent="0.3">
      <c r="EY520" s="117"/>
      <c r="EZ520" s="145"/>
      <c r="FA520" s="35">
        <v>3</v>
      </c>
      <c r="FB520" s="120">
        <v>110</v>
      </c>
      <c r="FC520" s="146">
        <v>18920</v>
      </c>
      <c r="FD520" s="97">
        <f t="shared" si="8"/>
        <v>18920</v>
      </c>
      <c r="FE520" s="38">
        <f t="shared" si="6"/>
        <v>54489.600000000006</v>
      </c>
      <c r="FF520" s="38">
        <f t="shared" si="7"/>
        <v>0</v>
      </c>
      <c r="FG520" s="38">
        <f t="shared" si="9"/>
        <v>156873.60000000001</v>
      </c>
      <c r="FH520" s="38">
        <f>SUM(FE$518:FE520)*$FE$502</f>
        <v>54905.760000000002</v>
      </c>
      <c r="FI520" s="38"/>
      <c r="FJ520" s="98"/>
      <c r="FK520" s="35">
        <v>18</v>
      </c>
      <c r="FL520" s="40">
        <f t="shared" si="1"/>
        <v>17.833333333333332</v>
      </c>
      <c r="FM520" s="35">
        <v>26</v>
      </c>
      <c r="FN520" s="35">
        <v>3</v>
      </c>
      <c r="FO520" s="40">
        <f t="shared" si="2"/>
        <v>28.5</v>
      </c>
      <c r="FQ520" s="35">
        <v>18</v>
      </c>
      <c r="FR520" s="35">
        <v>37</v>
      </c>
      <c r="FT520" s="35">
        <v>18</v>
      </c>
      <c r="FU520" s="35">
        <f t="shared" si="5"/>
        <v>27</v>
      </c>
      <c r="FW520" s="115">
        <v>290</v>
      </c>
      <c r="FX520" s="146">
        <v>32710</v>
      </c>
      <c r="FY520" s="35">
        <v>19</v>
      </c>
      <c r="FZ520" s="134"/>
      <c r="GA520" s="135"/>
      <c r="GB520" s="42"/>
      <c r="GC520" s="35" t="str">
        <f t="shared" si="3"/>
        <v>290元：32710</v>
      </c>
      <c r="GD520" s="38"/>
      <c r="GE520" s="48" t="s">
        <v>92</v>
      </c>
      <c r="GF520" s="61" t="s">
        <v>93</v>
      </c>
      <c r="GG520" s="170" t="s">
        <v>94</v>
      </c>
      <c r="GH520" s="171"/>
      <c r="GI520" s="51" t="s">
        <v>95</v>
      </c>
      <c r="GJ520" s="58">
        <v>34800</v>
      </c>
      <c r="GK520" s="53">
        <f t="shared" si="4"/>
        <v>2610</v>
      </c>
    </row>
    <row r="521" spans="155:193" s="35" customFormat="1" ht="17.25" thickBot="1" x14ac:dyDescent="0.3">
      <c r="EY521" s="117"/>
      <c r="EZ521" s="145"/>
      <c r="FA521" s="35">
        <v>4</v>
      </c>
      <c r="FB521" s="120">
        <v>120</v>
      </c>
      <c r="FC521" s="146">
        <v>19690</v>
      </c>
      <c r="FD521" s="97">
        <f t="shared" si="8"/>
        <v>19690</v>
      </c>
      <c r="FE521" s="38">
        <f t="shared" si="6"/>
        <v>56707.199999999997</v>
      </c>
      <c r="FF521" s="38">
        <f t="shared" si="7"/>
        <v>0</v>
      </c>
      <c r="FG521" s="38">
        <f t="shared" si="9"/>
        <v>213580.79999999999</v>
      </c>
      <c r="FH521" s="38">
        <f>SUM(FE$518:FE521)*$FE$502</f>
        <v>74753.279999999984</v>
      </c>
      <c r="FI521" s="38"/>
      <c r="FJ521" s="98"/>
      <c r="FK521" s="35">
        <v>19</v>
      </c>
      <c r="FL521" s="40">
        <f t="shared" si="1"/>
        <v>18.833333333333332</v>
      </c>
      <c r="FM521" s="35">
        <v>29</v>
      </c>
      <c r="FN521" s="35">
        <v>3</v>
      </c>
      <c r="FO521" s="40">
        <f t="shared" si="2"/>
        <v>31.5</v>
      </c>
      <c r="FQ521" s="35">
        <v>19</v>
      </c>
      <c r="FR521" s="35">
        <v>39</v>
      </c>
      <c r="FT521" s="35">
        <v>19</v>
      </c>
      <c r="FU521" s="35">
        <f t="shared" si="5"/>
        <v>28.5</v>
      </c>
      <c r="FW521" s="115">
        <v>310</v>
      </c>
      <c r="FX521" s="146">
        <v>33860</v>
      </c>
      <c r="FY521" s="35">
        <v>20</v>
      </c>
      <c r="FZ521" s="134"/>
      <c r="GA521" s="135"/>
      <c r="GB521" s="42"/>
      <c r="GC521" s="35" t="str">
        <f t="shared" si="3"/>
        <v>310元：33860</v>
      </c>
      <c r="GD521" s="38"/>
      <c r="GE521" s="48" t="s">
        <v>96</v>
      </c>
      <c r="GF521" s="61" t="s">
        <v>97</v>
      </c>
      <c r="GG521" s="170" t="s">
        <v>98</v>
      </c>
      <c r="GH521" s="171"/>
      <c r="GI521" s="51" t="s">
        <v>99</v>
      </c>
      <c r="GJ521" s="99">
        <v>36300</v>
      </c>
      <c r="GK521" s="53">
        <f t="shared" si="4"/>
        <v>2722.5</v>
      </c>
    </row>
    <row r="522" spans="155:193" s="35" customFormat="1" ht="17.25" thickBot="1" x14ac:dyDescent="0.3">
      <c r="EY522" s="117"/>
      <c r="EZ522" s="145"/>
      <c r="FA522" s="35">
        <v>5</v>
      </c>
      <c r="FB522" s="120">
        <v>130</v>
      </c>
      <c r="FC522" s="146">
        <v>20460</v>
      </c>
      <c r="FD522" s="97">
        <f t="shared" si="8"/>
        <v>20460</v>
      </c>
      <c r="FE522" s="38">
        <f t="shared" si="6"/>
        <v>58924.799999999996</v>
      </c>
      <c r="FF522" s="38">
        <f t="shared" si="7"/>
        <v>0</v>
      </c>
      <c r="FG522" s="38">
        <f t="shared" si="9"/>
        <v>272505.59999999998</v>
      </c>
      <c r="FH522" s="38">
        <f>SUM(FE$518:FE522)*$FE$502</f>
        <v>95376.959999999992</v>
      </c>
      <c r="FI522" s="38"/>
      <c r="FJ522" s="98"/>
      <c r="FK522" s="35">
        <v>20</v>
      </c>
      <c r="FL522" s="40">
        <f t="shared" si="1"/>
        <v>19.833333333333332</v>
      </c>
      <c r="FM522" s="35">
        <v>32</v>
      </c>
      <c r="FN522" s="35">
        <v>4</v>
      </c>
      <c r="FO522" s="40">
        <f t="shared" si="2"/>
        <v>35.333333333333336</v>
      </c>
      <c r="FQ522" s="35">
        <v>20</v>
      </c>
      <c r="FR522" s="35">
        <v>41</v>
      </c>
      <c r="FT522" s="35">
        <v>20</v>
      </c>
      <c r="FU522" s="35">
        <f t="shared" si="5"/>
        <v>30</v>
      </c>
      <c r="FW522" s="115">
        <v>330</v>
      </c>
      <c r="FX522" s="146">
        <v>35010</v>
      </c>
      <c r="FY522" s="35">
        <v>21</v>
      </c>
      <c r="FZ522" s="134"/>
      <c r="GA522" s="135"/>
      <c r="GB522" s="42"/>
      <c r="GC522" s="35" t="str">
        <f t="shared" si="3"/>
        <v>330元：35010</v>
      </c>
      <c r="GD522" s="38"/>
      <c r="GE522" s="48" t="s">
        <v>100</v>
      </c>
      <c r="GF522" s="61" t="s">
        <v>101</v>
      </c>
      <c r="GG522" s="170" t="s">
        <v>102</v>
      </c>
      <c r="GH522" s="171"/>
      <c r="GI522" s="51" t="s">
        <v>103</v>
      </c>
      <c r="GJ522" s="100">
        <v>38200</v>
      </c>
      <c r="GK522" s="53">
        <f t="shared" si="4"/>
        <v>2865</v>
      </c>
    </row>
    <row r="523" spans="155:193" s="35" customFormat="1" ht="17.25" thickBot="1" x14ac:dyDescent="0.3">
      <c r="EY523" s="117"/>
      <c r="EZ523" s="145"/>
      <c r="FA523" s="35">
        <v>6</v>
      </c>
      <c r="FB523" s="120">
        <v>140</v>
      </c>
      <c r="FC523" s="146">
        <v>21220</v>
      </c>
      <c r="FD523" s="97">
        <f t="shared" si="8"/>
        <v>21220</v>
      </c>
      <c r="FE523" s="38">
        <f t="shared" si="6"/>
        <v>61113.600000000006</v>
      </c>
      <c r="FF523" s="38">
        <f t="shared" si="7"/>
        <v>0</v>
      </c>
      <c r="FG523" s="38">
        <f t="shared" si="9"/>
        <v>333619.19999999995</v>
      </c>
      <c r="FH523" s="38">
        <f>SUM(FE$518:FE523)*$FE$502</f>
        <v>116766.71999999997</v>
      </c>
      <c r="FI523" s="38"/>
      <c r="FJ523" s="98"/>
      <c r="FK523" s="35">
        <v>21</v>
      </c>
      <c r="FL523" s="40">
        <f t="shared" si="1"/>
        <v>20.833333333333332</v>
      </c>
      <c r="FM523" s="35">
        <v>36</v>
      </c>
      <c r="FN523" s="35">
        <v>0</v>
      </c>
      <c r="FO523" s="40">
        <f t="shared" si="2"/>
        <v>36</v>
      </c>
      <c r="FQ523" s="35">
        <v>21</v>
      </c>
      <c r="FR523" s="35">
        <v>43</v>
      </c>
      <c r="FT523" s="35">
        <v>21</v>
      </c>
      <c r="FU523" s="35">
        <f t="shared" si="5"/>
        <v>31.5</v>
      </c>
      <c r="FW523" s="115">
        <v>350</v>
      </c>
      <c r="FX523" s="146">
        <v>36160</v>
      </c>
      <c r="FY523" s="35">
        <v>22</v>
      </c>
      <c r="FZ523" s="134"/>
      <c r="GA523" s="135"/>
      <c r="GB523" s="42"/>
      <c r="GC523" s="35" t="str">
        <f t="shared" si="3"/>
        <v>350元：36160</v>
      </c>
      <c r="GD523" s="38"/>
      <c r="GE523" s="101" t="s">
        <v>104</v>
      </c>
      <c r="GF523" s="102" t="s">
        <v>105</v>
      </c>
      <c r="GG523" s="170" t="s">
        <v>106</v>
      </c>
      <c r="GH523" s="171"/>
      <c r="GI523" s="103" t="s">
        <v>107</v>
      </c>
      <c r="GJ523" s="58">
        <v>40100</v>
      </c>
      <c r="GK523" s="53">
        <f t="shared" si="4"/>
        <v>3007.5</v>
      </c>
    </row>
    <row r="524" spans="155:193" s="35" customFormat="1" ht="17.25" thickBot="1" x14ac:dyDescent="0.3">
      <c r="EY524" s="117"/>
      <c r="EZ524" s="145"/>
      <c r="FA524" s="35">
        <v>7</v>
      </c>
      <c r="FB524" s="120">
        <v>150</v>
      </c>
      <c r="FC524" s="146">
        <v>21990</v>
      </c>
      <c r="FD524" s="97">
        <f t="shared" si="8"/>
        <v>21990</v>
      </c>
      <c r="FE524" s="38">
        <f t="shared" si="6"/>
        <v>63331.199999999997</v>
      </c>
      <c r="FF524" s="38">
        <f t="shared" si="7"/>
        <v>0</v>
      </c>
      <c r="FG524" s="38">
        <f t="shared" si="9"/>
        <v>396950.39999999997</v>
      </c>
      <c r="FH524" s="38">
        <f>SUM(FE$518:FE524)*$FE$502</f>
        <v>138932.63999999998</v>
      </c>
      <c r="FI524" s="38"/>
      <c r="FJ524" s="98"/>
      <c r="FK524" s="35">
        <v>22</v>
      </c>
      <c r="FL524" s="40">
        <f t="shared" si="1"/>
        <v>21.833333333333332</v>
      </c>
      <c r="FM524" s="35">
        <v>36</v>
      </c>
      <c r="FN524" s="35">
        <v>0</v>
      </c>
      <c r="FO524" s="40">
        <f t="shared" si="2"/>
        <v>36</v>
      </c>
      <c r="FQ524" s="35">
        <v>22</v>
      </c>
      <c r="FR524" s="35">
        <v>45</v>
      </c>
      <c r="FT524" s="35">
        <v>22</v>
      </c>
      <c r="FU524" s="35">
        <f t="shared" si="5"/>
        <v>33</v>
      </c>
      <c r="FW524" s="115">
        <v>370</v>
      </c>
      <c r="FX524" s="146">
        <v>37310</v>
      </c>
      <c r="FY524" s="35">
        <v>23</v>
      </c>
      <c r="FZ524" s="134"/>
      <c r="GA524" s="135"/>
      <c r="GB524" s="42"/>
      <c r="GC524" s="35" t="str">
        <f t="shared" si="3"/>
        <v>370元：37310</v>
      </c>
      <c r="GD524" s="38"/>
      <c r="GE524" s="104" t="s">
        <v>108</v>
      </c>
      <c r="GF524" s="50" t="s">
        <v>109</v>
      </c>
      <c r="GG524" s="170" t="s">
        <v>110</v>
      </c>
      <c r="GH524" s="171"/>
      <c r="GI524" s="105" t="s">
        <v>111</v>
      </c>
      <c r="GJ524" s="58">
        <v>42000</v>
      </c>
      <c r="GK524" s="53">
        <f t="shared" si="4"/>
        <v>3150</v>
      </c>
    </row>
    <row r="525" spans="155:193" s="35" customFormat="1" ht="17.25" thickBot="1" x14ac:dyDescent="0.3">
      <c r="EY525" s="117"/>
      <c r="EZ525" s="145"/>
      <c r="FA525" s="35">
        <v>8</v>
      </c>
      <c r="FB525" s="41">
        <v>160</v>
      </c>
      <c r="FC525" s="146">
        <v>22750</v>
      </c>
      <c r="FD525" s="97">
        <f t="shared" si="8"/>
        <v>22750</v>
      </c>
      <c r="FE525" s="38">
        <f t="shared" si="6"/>
        <v>65520</v>
      </c>
      <c r="FF525" s="38">
        <f t="shared" si="7"/>
        <v>0</v>
      </c>
      <c r="FG525" s="38">
        <f t="shared" si="9"/>
        <v>462470.39999999997</v>
      </c>
      <c r="FH525" s="38">
        <f>SUM(FE$518:FE525)*$FE$502</f>
        <v>161864.63999999998</v>
      </c>
      <c r="FI525" s="38"/>
      <c r="FJ525" s="98"/>
      <c r="FK525" s="35">
        <v>23</v>
      </c>
      <c r="FL525" s="40">
        <f t="shared" si="1"/>
        <v>22.833333333333332</v>
      </c>
      <c r="FM525" s="35">
        <v>36</v>
      </c>
      <c r="FN525" s="35">
        <v>0</v>
      </c>
      <c r="FO525" s="40">
        <f t="shared" si="2"/>
        <v>36</v>
      </c>
      <c r="FQ525" s="35">
        <v>23</v>
      </c>
      <c r="FR525" s="35">
        <v>47</v>
      </c>
      <c r="FT525" s="35">
        <v>23</v>
      </c>
      <c r="FU525" s="35">
        <f t="shared" si="5"/>
        <v>34.5</v>
      </c>
      <c r="FW525" s="115">
        <v>390</v>
      </c>
      <c r="FX525" s="146">
        <v>38460</v>
      </c>
      <c r="FY525" s="35">
        <v>24</v>
      </c>
      <c r="FZ525" s="134"/>
      <c r="GA525" s="135"/>
      <c r="GB525" s="42"/>
      <c r="GC525" s="35" t="str">
        <f t="shared" si="3"/>
        <v>390元：38460</v>
      </c>
      <c r="GD525" s="38"/>
      <c r="GE525" s="106" t="s">
        <v>112</v>
      </c>
      <c r="GF525" s="107" t="s">
        <v>113</v>
      </c>
      <c r="GG525" s="175" t="s">
        <v>114</v>
      </c>
      <c r="GH525" s="176"/>
      <c r="GI525" s="108" t="s">
        <v>115</v>
      </c>
      <c r="GJ525" s="58">
        <v>43900</v>
      </c>
      <c r="GK525" s="53">
        <f t="shared" si="4"/>
        <v>3292.5</v>
      </c>
    </row>
    <row r="526" spans="155:193" s="35" customFormat="1" ht="17.25" thickTop="1" x14ac:dyDescent="0.25">
      <c r="EY526" s="117"/>
      <c r="EZ526" s="145"/>
      <c r="FA526" s="35">
        <v>9</v>
      </c>
      <c r="FB526" s="41">
        <v>170</v>
      </c>
      <c r="FC526" s="146">
        <v>23520</v>
      </c>
      <c r="FD526" s="97">
        <f t="shared" si="8"/>
        <v>23520</v>
      </c>
      <c r="FE526" s="38">
        <f t="shared" si="6"/>
        <v>67737.600000000006</v>
      </c>
      <c r="FF526" s="38">
        <f t="shared" si="7"/>
        <v>0</v>
      </c>
      <c r="FG526" s="38">
        <f t="shared" si="9"/>
        <v>530208</v>
      </c>
      <c r="FH526" s="38">
        <f>SUM(FE$518:FE526)*$FE$502</f>
        <v>185572.8</v>
      </c>
      <c r="FI526" s="38"/>
      <c r="FJ526" s="98"/>
      <c r="FK526" s="35">
        <v>24</v>
      </c>
      <c r="FL526" s="40">
        <f t="shared" si="1"/>
        <v>23.833333333333332</v>
      </c>
      <c r="FM526" s="35">
        <v>36</v>
      </c>
      <c r="FN526" s="35">
        <v>0</v>
      </c>
      <c r="FO526" s="40">
        <f t="shared" si="2"/>
        <v>36</v>
      </c>
      <c r="FQ526" s="35">
        <v>24</v>
      </c>
      <c r="FR526" s="35">
        <v>49</v>
      </c>
      <c r="FT526" s="35">
        <v>24</v>
      </c>
      <c r="FU526" s="35">
        <f t="shared" si="5"/>
        <v>36</v>
      </c>
      <c r="FW526" s="115">
        <v>410</v>
      </c>
      <c r="FX526" s="146">
        <v>39610</v>
      </c>
      <c r="FY526" s="35">
        <v>25</v>
      </c>
      <c r="FZ526" s="134"/>
      <c r="GA526" s="135"/>
      <c r="GB526" s="42"/>
      <c r="GC526" s="35" t="str">
        <f t="shared" si="3"/>
        <v>410元：39610</v>
      </c>
      <c r="GD526" s="38"/>
    </row>
    <row r="527" spans="155:193" s="35" customFormat="1" x14ac:dyDescent="0.25">
      <c r="EY527" s="117"/>
      <c r="EZ527" s="145"/>
      <c r="FA527" s="35">
        <v>10</v>
      </c>
      <c r="FB527" s="41">
        <v>180</v>
      </c>
      <c r="FC527" s="146">
        <v>24290</v>
      </c>
      <c r="FD527" s="97">
        <f t="shared" si="8"/>
        <v>24290</v>
      </c>
      <c r="FE527" s="45">
        <f t="shared" si="6"/>
        <v>69955.199999999997</v>
      </c>
      <c r="FF527" s="38">
        <f t="shared" si="7"/>
        <v>0</v>
      </c>
      <c r="FG527" s="45">
        <f t="shared" si="9"/>
        <v>600163.19999999995</v>
      </c>
      <c r="FH527" s="38">
        <f>SUM(FE$518:FE527)*$FE$502</f>
        <v>210057.11999999997</v>
      </c>
      <c r="FI527" s="38"/>
      <c r="FJ527" s="98"/>
      <c r="FK527" s="35">
        <v>25</v>
      </c>
      <c r="FL527" s="40">
        <f t="shared" si="1"/>
        <v>24.833333333333332</v>
      </c>
      <c r="FM527" s="35">
        <v>36</v>
      </c>
      <c r="FN527" s="35">
        <v>0</v>
      </c>
      <c r="FO527" s="40">
        <f t="shared" si="2"/>
        <v>36</v>
      </c>
      <c r="FQ527" s="35">
        <v>25</v>
      </c>
      <c r="FR527" s="35">
        <v>51</v>
      </c>
      <c r="FT527" s="35">
        <v>25</v>
      </c>
      <c r="FU527" s="35">
        <f t="shared" si="5"/>
        <v>37.5</v>
      </c>
      <c r="FW527" s="115">
        <v>430</v>
      </c>
      <c r="FX527" s="146">
        <v>40760</v>
      </c>
      <c r="FY527" s="35">
        <v>26</v>
      </c>
      <c r="FZ527" s="134"/>
      <c r="GA527" s="135"/>
      <c r="GB527" s="42"/>
      <c r="GC527" s="35" t="str">
        <f t="shared" si="3"/>
        <v>430元：40760</v>
      </c>
      <c r="GD527" s="38"/>
    </row>
    <row r="528" spans="155:193" s="35" customFormat="1" x14ac:dyDescent="0.25">
      <c r="EY528" s="117"/>
      <c r="EZ528" s="145"/>
      <c r="FA528" s="35">
        <v>11</v>
      </c>
      <c r="FB528" s="41">
        <v>190</v>
      </c>
      <c r="FC528" s="146">
        <v>25050</v>
      </c>
      <c r="FD528" s="97">
        <f t="shared" si="8"/>
        <v>25050</v>
      </c>
      <c r="FE528" s="45">
        <f t="shared" si="6"/>
        <v>72144</v>
      </c>
      <c r="FF528" s="38">
        <f t="shared" si="7"/>
        <v>0</v>
      </c>
      <c r="FG528" s="45">
        <f t="shared" si="9"/>
        <v>672307.19999999995</v>
      </c>
      <c r="FH528" s="38">
        <f>SUM(FE$518:FE528)*$FE$502</f>
        <v>235307.51999999996</v>
      </c>
      <c r="FI528" s="38"/>
      <c r="FJ528" s="98"/>
      <c r="FK528" s="35">
        <v>26</v>
      </c>
      <c r="FL528" s="40">
        <f t="shared" si="1"/>
        <v>25.833333333333332</v>
      </c>
      <c r="FM528" s="35">
        <v>36</v>
      </c>
      <c r="FN528" s="35">
        <v>0</v>
      </c>
      <c r="FO528" s="40">
        <f t="shared" si="2"/>
        <v>36</v>
      </c>
      <c r="FQ528" s="35">
        <v>26</v>
      </c>
      <c r="FR528" s="35">
        <v>53</v>
      </c>
      <c r="FT528" s="35">
        <v>26</v>
      </c>
      <c r="FU528" s="35">
        <f t="shared" si="5"/>
        <v>39</v>
      </c>
      <c r="FW528" s="115">
        <v>450</v>
      </c>
      <c r="FX528" s="146">
        <v>41900</v>
      </c>
      <c r="FY528" s="35">
        <v>27</v>
      </c>
      <c r="FZ528" s="134"/>
      <c r="GA528" s="135"/>
      <c r="GB528" s="42"/>
      <c r="GC528" s="35" t="str">
        <f t="shared" si="3"/>
        <v>450元：41900</v>
      </c>
      <c r="GD528" s="38"/>
    </row>
    <row r="529" spans="155:186" s="35" customFormat="1" x14ac:dyDescent="0.25">
      <c r="EY529" s="117"/>
      <c r="EZ529" s="145"/>
      <c r="FA529" s="35">
        <v>12</v>
      </c>
      <c r="FB529" s="41">
        <v>200</v>
      </c>
      <c r="FC529" s="146">
        <v>25820</v>
      </c>
      <c r="FD529" s="97">
        <f t="shared" si="8"/>
        <v>25820</v>
      </c>
      <c r="FE529" s="45">
        <f t="shared" si="6"/>
        <v>74361.600000000006</v>
      </c>
      <c r="FF529" s="38">
        <f t="shared" si="7"/>
        <v>0</v>
      </c>
      <c r="FG529" s="45">
        <f t="shared" si="9"/>
        <v>746668.79999999993</v>
      </c>
      <c r="FH529" s="38">
        <f>SUM(FE$518:FE529)*$FE$502</f>
        <v>261334.07999999996</v>
      </c>
      <c r="FI529" s="38"/>
      <c r="FJ529" s="98"/>
      <c r="FK529" s="35">
        <v>27</v>
      </c>
      <c r="FL529" s="40">
        <f t="shared" si="1"/>
        <v>26.833333333333332</v>
      </c>
      <c r="FM529" s="35">
        <v>36</v>
      </c>
      <c r="FN529" s="35">
        <v>0</v>
      </c>
      <c r="FO529" s="40">
        <f t="shared" si="2"/>
        <v>36</v>
      </c>
      <c r="FQ529" s="35">
        <v>27</v>
      </c>
      <c r="FR529" s="35">
        <v>55</v>
      </c>
      <c r="FT529" s="35">
        <v>27</v>
      </c>
      <c r="FU529" s="35">
        <f t="shared" si="5"/>
        <v>40.5</v>
      </c>
      <c r="FW529" s="115">
        <v>475</v>
      </c>
      <c r="FX529" s="146">
        <v>44970</v>
      </c>
      <c r="FY529" s="35">
        <v>28</v>
      </c>
      <c r="FZ529" s="134"/>
      <c r="GA529" s="135"/>
      <c r="GB529" s="42"/>
      <c r="GC529" s="35" t="str">
        <f t="shared" si="3"/>
        <v>475元：44970</v>
      </c>
      <c r="GD529" s="38"/>
    </row>
    <row r="530" spans="155:186" s="35" customFormat="1" x14ac:dyDescent="0.25">
      <c r="EY530" s="117"/>
      <c r="EZ530" s="145"/>
      <c r="FA530" s="35">
        <v>13</v>
      </c>
      <c r="FB530" s="41">
        <v>210</v>
      </c>
      <c r="FC530" s="146">
        <v>26580</v>
      </c>
      <c r="FD530" s="97">
        <f t="shared" si="8"/>
        <v>26580</v>
      </c>
      <c r="FE530" s="45">
        <f t="shared" si="6"/>
        <v>76550.399999999994</v>
      </c>
      <c r="FF530" s="38">
        <f t="shared" si="7"/>
        <v>0</v>
      </c>
      <c r="FG530" s="45">
        <f t="shared" si="9"/>
        <v>823219.19999999995</v>
      </c>
      <c r="FH530" s="38">
        <f>SUM(FE$518:FE530)*$FE$502</f>
        <v>288126.71999999997</v>
      </c>
      <c r="FI530" s="38"/>
      <c r="FJ530" s="98"/>
      <c r="FK530" s="35">
        <v>28</v>
      </c>
      <c r="FL530" s="40">
        <f t="shared" si="1"/>
        <v>27.833333333333332</v>
      </c>
      <c r="FM530" s="35">
        <v>36</v>
      </c>
      <c r="FN530" s="35">
        <v>0</v>
      </c>
      <c r="FO530" s="40">
        <f t="shared" si="2"/>
        <v>36</v>
      </c>
      <c r="FQ530" s="35">
        <v>28</v>
      </c>
      <c r="FR530" s="35">
        <v>57</v>
      </c>
      <c r="FT530" s="35">
        <v>28</v>
      </c>
      <c r="FU530" s="35">
        <f t="shared" si="5"/>
        <v>42</v>
      </c>
      <c r="FW530" s="115">
        <v>500</v>
      </c>
      <c r="FX530" s="146">
        <v>46500</v>
      </c>
      <c r="FY530" s="35">
        <v>29</v>
      </c>
      <c r="FZ530" s="134"/>
      <c r="GA530" s="135"/>
      <c r="GB530" s="42"/>
      <c r="GC530" s="35" t="str">
        <f t="shared" si="3"/>
        <v>500元：46500</v>
      </c>
      <c r="GD530" s="38"/>
    </row>
    <row r="531" spans="155:186" s="35" customFormat="1" x14ac:dyDescent="0.25">
      <c r="EY531" s="117"/>
      <c r="EZ531" s="145"/>
      <c r="FA531" s="35">
        <v>14</v>
      </c>
      <c r="FB531" s="41">
        <v>220</v>
      </c>
      <c r="FC531" s="146">
        <v>27350</v>
      </c>
      <c r="FD531" s="97">
        <f t="shared" si="8"/>
        <v>27350</v>
      </c>
      <c r="FE531" s="45">
        <f t="shared" si="6"/>
        <v>78768</v>
      </c>
      <c r="FF531" s="38">
        <f t="shared" si="7"/>
        <v>0</v>
      </c>
      <c r="FG531" s="45">
        <f t="shared" si="9"/>
        <v>901987.2</v>
      </c>
      <c r="FH531" s="38">
        <f>SUM(FE$518:FE531)*$FE$502</f>
        <v>315695.51999999996</v>
      </c>
      <c r="FI531" s="38"/>
      <c r="FJ531" s="98"/>
      <c r="FK531" s="35">
        <v>29</v>
      </c>
      <c r="FL531" s="40">
        <f t="shared" si="1"/>
        <v>28.833333333333332</v>
      </c>
      <c r="FM531" s="35">
        <v>36</v>
      </c>
      <c r="FN531" s="35">
        <v>0</v>
      </c>
      <c r="FO531" s="40">
        <f t="shared" si="2"/>
        <v>36</v>
      </c>
      <c r="FQ531" s="35">
        <v>29</v>
      </c>
      <c r="FR531" s="35">
        <v>59</v>
      </c>
      <c r="FT531" s="35">
        <v>29</v>
      </c>
      <c r="FU531" s="35">
        <f t="shared" si="5"/>
        <v>43.5</v>
      </c>
      <c r="FW531" s="115">
        <v>525</v>
      </c>
      <c r="FX531" s="146">
        <v>48030</v>
      </c>
      <c r="FY531" s="35">
        <v>30</v>
      </c>
      <c r="FZ531" s="134"/>
      <c r="GA531" s="135"/>
      <c r="GB531" s="42"/>
      <c r="GC531" s="35" t="str">
        <f t="shared" si="3"/>
        <v>525元：48030</v>
      </c>
      <c r="GD531" s="38"/>
    </row>
    <row r="532" spans="155:186" s="35" customFormat="1" x14ac:dyDescent="0.25">
      <c r="EY532" s="117"/>
      <c r="EZ532" s="145"/>
      <c r="FA532" s="35">
        <v>15</v>
      </c>
      <c r="FB532" s="41">
        <v>230</v>
      </c>
      <c r="FC532" s="146">
        <v>28120</v>
      </c>
      <c r="FD532" s="97">
        <f t="shared" si="8"/>
        <v>28120</v>
      </c>
      <c r="FE532" s="45">
        <f t="shared" si="6"/>
        <v>80985.600000000006</v>
      </c>
      <c r="FF532" s="38">
        <f t="shared" si="7"/>
        <v>0</v>
      </c>
      <c r="FG532" s="45">
        <f t="shared" si="9"/>
        <v>982972.79999999993</v>
      </c>
      <c r="FH532" s="38">
        <f>SUM(FE$518:FE532)*$FE$502</f>
        <v>344040.48</v>
      </c>
      <c r="FI532" s="38"/>
      <c r="FJ532" s="98"/>
      <c r="FK532" s="35">
        <v>30</v>
      </c>
      <c r="FL532" s="40">
        <f t="shared" si="1"/>
        <v>29.833333333333332</v>
      </c>
      <c r="FM532" s="35">
        <v>36</v>
      </c>
      <c r="FN532" s="35">
        <v>0</v>
      </c>
      <c r="FO532" s="40">
        <f t="shared" si="2"/>
        <v>36</v>
      </c>
      <c r="FQ532" s="35">
        <v>30</v>
      </c>
      <c r="FR532" s="35">
        <v>61</v>
      </c>
      <c r="FT532" s="35">
        <v>30</v>
      </c>
      <c r="FU532" s="35">
        <f t="shared" si="5"/>
        <v>45</v>
      </c>
      <c r="FW532" s="115">
        <v>550</v>
      </c>
      <c r="FX532" s="146">
        <v>49560</v>
      </c>
      <c r="FY532" s="35">
        <v>31</v>
      </c>
      <c r="FZ532" s="134"/>
      <c r="GA532" s="135"/>
      <c r="GB532" s="42"/>
      <c r="GC532" s="35" t="str">
        <f t="shared" si="3"/>
        <v>550元：49560</v>
      </c>
      <c r="GD532" s="38"/>
    </row>
    <row r="533" spans="155:186" s="35" customFormat="1" x14ac:dyDescent="0.25">
      <c r="EY533" s="117"/>
      <c r="EZ533" s="145"/>
      <c r="FA533" s="35">
        <v>16</v>
      </c>
      <c r="FB533" s="41">
        <v>245</v>
      </c>
      <c r="FC533" s="146">
        <v>29270</v>
      </c>
      <c r="FD533" s="97">
        <f t="shared" si="8"/>
        <v>29270</v>
      </c>
      <c r="FE533" s="45">
        <f t="shared" si="6"/>
        <v>84297.600000000006</v>
      </c>
      <c r="FF533" s="38">
        <f t="shared" si="7"/>
        <v>0</v>
      </c>
      <c r="FG533" s="45">
        <f t="shared" si="9"/>
        <v>1067270.3999999999</v>
      </c>
      <c r="FH533" s="38">
        <f>SUM(FE$518:FE533)*$FE$502</f>
        <v>373544.63999999996</v>
      </c>
      <c r="FI533" s="38"/>
      <c r="FJ533" s="98"/>
      <c r="FK533" s="35">
        <v>31</v>
      </c>
      <c r="FL533" s="40">
        <f t="shared" si="1"/>
        <v>30.833333333333332</v>
      </c>
      <c r="FM533" s="35">
        <v>36</v>
      </c>
      <c r="FN533" s="35">
        <v>0</v>
      </c>
      <c r="FO533" s="40">
        <f t="shared" si="2"/>
        <v>36</v>
      </c>
      <c r="FQ533" s="35">
        <v>31</v>
      </c>
      <c r="FR533" s="35">
        <v>63</v>
      </c>
      <c r="FT533" s="35">
        <v>31</v>
      </c>
      <c r="FU533" s="35">
        <f t="shared" si="5"/>
        <v>46.5</v>
      </c>
      <c r="FW533" s="115">
        <v>575</v>
      </c>
      <c r="FX533" s="146">
        <v>51100</v>
      </c>
      <c r="FY533" s="35">
        <v>32</v>
      </c>
      <c r="FZ533" s="134"/>
      <c r="GA533" s="135"/>
      <c r="GB533" s="42"/>
      <c r="GC533" s="35" t="str">
        <f t="shared" si="3"/>
        <v>575元：51100</v>
      </c>
      <c r="GD533" s="38"/>
    </row>
    <row r="534" spans="155:186" s="35" customFormat="1" x14ac:dyDescent="0.25">
      <c r="EY534" s="117"/>
      <c r="EZ534" s="145"/>
      <c r="FA534" s="35">
        <v>17</v>
      </c>
      <c r="FB534" s="41">
        <v>260</v>
      </c>
      <c r="FC534" s="146">
        <v>30410</v>
      </c>
      <c r="FD534" s="97">
        <f t="shared" si="8"/>
        <v>30410</v>
      </c>
      <c r="FE534" s="45">
        <f t="shared" si="6"/>
        <v>87580.799999999988</v>
      </c>
      <c r="FF534" s="38">
        <f t="shared" si="7"/>
        <v>0</v>
      </c>
      <c r="FG534" s="45">
        <f t="shared" si="9"/>
        <v>1154851.2</v>
      </c>
      <c r="FH534" s="38">
        <f>SUM(FE$518:FE534)*$FE$502</f>
        <v>404197.92</v>
      </c>
      <c r="FI534" s="38"/>
      <c r="FJ534" s="98"/>
      <c r="FK534" s="35">
        <v>32</v>
      </c>
      <c r="FL534" s="40">
        <f t="shared" si="1"/>
        <v>31.833333333333332</v>
      </c>
      <c r="FM534" s="35">
        <v>36</v>
      </c>
      <c r="FN534" s="35">
        <v>0</v>
      </c>
      <c r="FO534" s="40">
        <f t="shared" si="2"/>
        <v>36</v>
      </c>
      <c r="FQ534" s="35">
        <v>32</v>
      </c>
      <c r="FR534" s="35">
        <v>65</v>
      </c>
      <c r="FT534" s="35">
        <v>32</v>
      </c>
      <c r="FU534" s="35">
        <f t="shared" si="5"/>
        <v>48</v>
      </c>
      <c r="FW534" s="115">
        <v>600</v>
      </c>
      <c r="FX534" s="146">
        <v>52630</v>
      </c>
      <c r="FY534" s="35">
        <v>33</v>
      </c>
      <c r="FZ534" s="134"/>
      <c r="GA534" s="135"/>
      <c r="GB534" s="42"/>
      <c r="GC534" s="35" t="str">
        <f t="shared" si="3"/>
        <v>600元：52630</v>
      </c>
      <c r="GD534" s="38"/>
    </row>
    <row r="535" spans="155:186" s="35" customFormat="1" x14ac:dyDescent="0.25">
      <c r="EY535" s="117"/>
      <c r="EZ535" s="145"/>
      <c r="FA535" s="35">
        <v>18</v>
      </c>
      <c r="FB535" s="41">
        <v>275</v>
      </c>
      <c r="FC535" s="146">
        <v>31560</v>
      </c>
      <c r="FD535" s="97">
        <f t="shared" si="8"/>
        <v>31560</v>
      </c>
      <c r="FE535" s="45">
        <f t="shared" si="6"/>
        <v>90892.799999999988</v>
      </c>
      <c r="FF535" s="38">
        <f t="shared" si="7"/>
        <v>0</v>
      </c>
      <c r="FG535" s="45">
        <f t="shared" si="9"/>
        <v>1245744</v>
      </c>
      <c r="FH535" s="38">
        <f>SUM(FE$518:FE535)*$FE$502</f>
        <v>436010.39999999997</v>
      </c>
      <c r="FI535" s="38"/>
      <c r="FJ535" s="98"/>
      <c r="FK535" s="35">
        <v>33</v>
      </c>
      <c r="FL535" s="40">
        <f t="shared" si="1"/>
        <v>32.833333333333336</v>
      </c>
      <c r="FM535" s="35">
        <v>36</v>
      </c>
      <c r="FN535" s="35">
        <v>0</v>
      </c>
      <c r="FO535" s="40">
        <f t="shared" si="2"/>
        <v>36</v>
      </c>
      <c r="FQ535" s="35">
        <v>33</v>
      </c>
      <c r="FR535" s="35">
        <v>67</v>
      </c>
      <c r="FT535" s="35">
        <v>33</v>
      </c>
      <c r="FU535" s="35">
        <f t="shared" si="5"/>
        <v>49.5</v>
      </c>
      <c r="FW535" s="115">
        <v>625</v>
      </c>
      <c r="FX535" s="146">
        <v>54160</v>
      </c>
      <c r="FY535" s="35">
        <v>34</v>
      </c>
      <c r="FZ535" s="134"/>
      <c r="GA535" s="135"/>
      <c r="GB535" s="42"/>
      <c r="GC535" s="35" t="str">
        <f t="shared" si="3"/>
        <v>625元：54160</v>
      </c>
      <c r="GD535" s="38"/>
    </row>
    <row r="536" spans="155:186" s="35" customFormat="1" x14ac:dyDescent="0.25">
      <c r="EY536" s="117"/>
      <c r="EZ536" s="145"/>
      <c r="FA536" s="35">
        <v>19</v>
      </c>
      <c r="FB536" s="41">
        <v>290</v>
      </c>
      <c r="FC536" s="146">
        <v>32710</v>
      </c>
      <c r="FD536" s="97">
        <f t="shared" si="8"/>
        <v>32710</v>
      </c>
      <c r="FE536" s="45">
        <f t="shared" si="6"/>
        <v>94204.799999999988</v>
      </c>
      <c r="FF536" s="38">
        <f t="shared" si="7"/>
        <v>0</v>
      </c>
      <c r="FG536" s="45">
        <f t="shared" si="9"/>
        <v>1339948.8</v>
      </c>
      <c r="FH536" s="38">
        <f>SUM(FE$518:FE536)*$FE$502</f>
        <v>468982.07999999996</v>
      </c>
      <c r="FI536" s="38"/>
      <c r="FJ536" s="98"/>
      <c r="FK536" s="35">
        <v>34</v>
      </c>
      <c r="FL536" s="40">
        <f t="shared" si="1"/>
        <v>33.833333333333336</v>
      </c>
      <c r="FM536" s="35">
        <v>36</v>
      </c>
      <c r="FN536" s="35">
        <v>0</v>
      </c>
      <c r="FO536" s="40">
        <f t="shared" si="2"/>
        <v>36</v>
      </c>
      <c r="FQ536" s="35">
        <v>34</v>
      </c>
      <c r="FR536" s="35">
        <v>69</v>
      </c>
      <c r="FT536" s="35">
        <v>34</v>
      </c>
      <c r="FU536" s="35">
        <f t="shared" si="5"/>
        <v>51</v>
      </c>
      <c r="FW536" s="115">
        <v>650</v>
      </c>
      <c r="FX536" s="146">
        <v>55690</v>
      </c>
      <c r="FY536" s="35">
        <v>35</v>
      </c>
      <c r="FZ536" s="134"/>
      <c r="GA536" s="135"/>
      <c r="GB536" s="42"/>
      <c r="GC536" s="35" t="str">
        <f t="shared" si="3"/>
        <v>650元：55690</v>
      </c>
      <c r="GD536" s="38"/>
    </row>
    <row r="537" spans="155:186" s="35" customFormat="1" x14ac:dyDescent="0.25">
      <c r="EY537" s="117"/>
      <c r="EZ537" s="145"/>
      <c r="FA537" s="35">
        <v>20</v>
      </c>
      <c r="FB537" s="41">
        <v>310</v>
      </c>
      <c r="FC537" s="146">
        <v>33860</v>
      </c>
      <c r="FD537" s="97">
        <f t="shared" si="8"/>
        <v>33860</v>
      </c>
      <c r="FE537" s="45">
        <f t="shared" si="6"/>
        <v>97516.799999999988</v>
      </c>
      <c r="FF537" s="38">
        <f t="shared" si="7"/>
        <v>0</v>
      </c>
      <c r="FG537" s="45">
        <f t="shared" si="9"/>
        <v>1437465.6000000001</v>
      </c>
      <c r="FH537" s="38">
        <f>SUM(FE$518:FE537)*$FE$502</f>
        <v>503112.96000000002</v>
      </c>
      <c r="FI537" s="38"/>
      <c r="FJ537" s="98"/>
      <c r="FK537" s="35">
        <v>35</v>
      </c>
      <c r="FL537" s="40">
        <f t="shared" si="1"/>
        <v>34.833333333333336</v>
      </c>
      <c r="FM537" s="35">
        <v>36</v>
      </c>
      <c r="FN537" s="35">
        <v>0</v>
      </c>
      <c r="FO537" s="40">
        <f t="shared" si="2"/>
        <v>36</v>
      </c>
      <c r="FQ537" s="35">
        <v>35</v>
      </c>
      <c r="FR537" s="35">
        <v>71</v>
      </c>
      <c r="FT537" s="35">
        <v>35</v>
      </c>
      <c r="FU537" s="35">
        <f>FT537*1.5+0.5</f>
        <v>53</v>
      </c>
      <c r="FW537" s="115">
        <v>680</v>
      </c>
      <c r="FX537" s="146">
        <v>57220</v>
      </c>
      <c r="FY537" s="35">
        <v>36</v>
      </c>
      <c r="FZ537" s="134"/>
      <c r="GA537" s="135"/>
      <c r="GB537" s="42"/>
      <c r="GC537" s="35" t="str">
        <f t="shared" si="3"/>
        <v>680元：57220</v>
      </c>
      <c r="GD537" s="38"/>
    </row>
    <row r="538" spans="155:186" s="35" customFormat="1" x14ac:dyDescent="0.25">
      <c r="EY538" s="117"/>
      <c r="EZ538" s="145"/>
      <c r="FA538" s="35">
        <v>21</v>
      </c>
      <c r="FB538" s="41">
        <v>330</v>
      </c>
      <c r="FC538" s="146">
        <v>35010</v>
      </c>
      <c r="FD538" s="97">
        <f t="shared" si="8"/>
        <v>35010</v>
      </c>
      <c r="FE538" s="45">
        <f t="shared" si="6"/>
        <v>100828.79999999999</v>
      </c>
      <c r="FF538" s="38">
        <f t="shared" si="7"/>
        <v>0</v>
      </c>
      <c r="FG538" s="45">
        <f t="shared" si="9"/>
        <v>1538294.4000000001</v>
      </c>
      <c r="FH538" s="38">
        <f>SUM(FE$518:FE538)*$FE$502</f>
        <v>538403.04</v>
      </c>
      <c r="FI538" s="38"/>
      <c r="FJ538" s="98"/>
      <c r="FK538" s="35">
        <v>36</v>
      </c>
      <c r="FL538" s="40">
        <f t="shared" si="1"/>
        <v>35.833333333333336</v>
      </c>
      <c r="FM538" s="35">
        <v>36</v>
      </c>
      <c r="FN538" s="35">
        <v>0</v>
      </c>
      <c r="FO538" s="40">
        <f t="shared" si="2"/>
        <v>36</v>
      </c>
      <c r="FQ538" s="35">
        <v>36</v>
      </c>
      <c r="FR538" s="35">
        <v>73</v>
      </c>
      <c r="FT538" s="35">
        <v>36</v>
      </c>
      <c r="FU538" s="35">
        <f>FT538*1.5+0.5</f>
        <v>54.5</v>
      </c>
      <c r="FW538" s="115">
        <v>710</v>
      </c>
      <c r="FX538" s="146">
        <v>59520</v>
      </c>
      <c r="FY538" s="35">
        <v>37</v>
      </c>
      <c r="FZ538" s="134"/>
      <c r="GA538" s="135"/>
      <c r="GB538" s="42"/>
      <c r="GC538" s="35" t="str">
        <f t="shared" si="3"/>
        <v>710元：59520</v>
      </c>
      <c r="GD538" s="38"/>
    </row>
    <row r="539" spans="155:186" s="35" customFormat="1" x14ac:dyDescent="0.25">
      <c r="EY539" s="117"/>
      <c r="EZ539" s="145"/>
      <c r="FA539" s="35">
        <v>22</v>
      </c>
      <c r="FB539" s="41">
        <v>350</v>
      </c>
      <c r="FC539" s="146">
        <v>36160</v>
      </c>
      <c r="FD539" s="97">
        <f t="shared" si="8"/>
        <v>36160</v>
      </c>
      <c r="FE539" s="45">
        <f t="shared" si="6"/>
        <v>104140.79999999999</v>
      </c>
      <c r="FF539" s="38">
        <f t="shared" si="7"/>
        <v>0</v>
      </c>
      <c r="FG539" s="45">
        <f t="shared" si="9"/>
        <v>1642435.2000000002</v>
      </c>
      <c r="FH539" s="38">
        <f>SUM(FE$518:FE539)*$FE$502</f>
        <v>574852.32000000007</v>
      </c>
      <c r="FI539" s="38"/>
      <c r="FJ539" s="98"/>
      <c r="FK539" s="35">
        <v>37</v>
      </c>
      <c r="FL539" s="40">
        <f t="shared" si="1"/>
        <v>36.833333333333336</v>
      </c>
      <c r="FM539" s="35">
        <v>36</v>
      </c>
      <c r="FN539" s="35">
        <v>0</v>
      </c>
      <c r="FO539" s="40">
        <f t="shared" si="2"/>
        <v>36</v>
      </c>
      <c r="FQ539" s="35">
        <v>37</v>
      </c>
      <c r="FR539" s="35">
        <v>75</v>
      </c>
      <c r="FT539" s="35">
        <v>37</v>
      </c>
      <c r="FU539" s="35">
        <f>FT539*1.5+0.5</f>
        <v>56</v>
      </c>
      <c r="FW539" s="115">
        <v>740</v>
      </c>
      <c r="FX539" s="146">
        <v>60290</v>
      </c>
      <c r="FY539" s="35">
        <v>38</v>
      </c>
      <c r="FZ539" s="134"/>
      <c r="GA539" s="135"/>
      <c r="GB539" s="42"/>
      <c r="GC539" s="35" t="str">
        <f t="shared" si="3"/>
        <v>740元：60290</v>
      </c>
      <c r="GD539" s="38"/>
    </row>
    <row r="540" spans="155:186" s="35" customFormat="1" ht="17.25" thickBot="1" x14ac:dyDescent="0.3">
      <c r="EY540" s="117"/>
      <c r="EZ540" s="145"/>
      <c r="FA540" s="35">
        <v>23</v>
      </c>
      <c r="FB540" s="41">
        <v>370</v>
      </c>
      <c r="FC540" s="146">
        <v>37310</v>
      </c>
      <c r="FD540" s="97">
        <f t="shared" si="8"/>
        <v>37310</v>
      </c>
      <c r="FE540" s="45">
        <f t="shared" si="6"/>
        <v>107452.79999999999</v>
      </c>
      <c r="FF540" s="38">
        <f t="shared" si="7"/>
        <v>0</v>
      </c>
      <c r="FG540" s="45">
        <f t="shared" si="9"/>
        <v>1749888.0000000002</v>
      </c>
      <c r="FH540" s="38">
        <f>SUM(FE$518:FE540)*$FE$502</f>
        <v>612460.80000000005</v>
      </c>
      <c r="FI540" s="38"/>
      <c r="FJ540" s="98"/>
      <c r="FK540" s="35">
        <v>38</v>
      </c>
      <c r="FL540" s="40">
        <f t="shared" si="1"/>
        <v>37.833333333333336</v>
      </c>
      <c r="FM540" s="35">
        <v>36</v>
      </c>
      <c r="FN540" s="35">
        <v>0</v>
      </c>
      <c r="FO540" s="40">
        <f t="shared" si="2"/>
        <v>36</v>
      </c>
      <c r="FQ540" s="35">
        <v>38</v>
      </c>
      <c r="FR540" s="35">
        <v>77</v>
      </c>
      <c r="FT540" s="35">
        <v>38</v>
      </c>
      <c r="FU540" s="35">
        <f>FT540*1.5+0.5</f>
        <v>57.5</v>
      </c>
      <c r="FW540" s="116">
        <v>770</v>
      </c>
      <c r="FX540" s="146">
        <v>63570</v>
      </c>
      <c r="FY540" s="35">
        <v>39</v>
      </c>
      <c r="FZ540" s="134"/>
      <c r="GA540" s="135"/>
      <c r="GB540" s="42"/>
      <c r="GC540" s="35" t="str">
        <f t="shared" si="3"/>
        <v>770元：63570</v>
      </c>
      <c r="GD540" s="38"/>
    </row>
    <row r="541" spans="155:186" s="35" customFormat="1" x14ac:dyDescent="0.25">
      <c r="EY541" s="117"/>
      <c r="EZ541" s="145"/>
      <c r="FA541" s="35">
        <v>24</v>
      </c>
      <c r="FB541" s="41">
        <v>390</v>
      </c>
      <c r="FC541" s="146">
        <v>38460</v>
      </c>
      <c r="FD541" s="97">
        <f t="shared" si="8"/>
        <v>38460</v>
      </c>
      <c r="FE541" s="45">
        <f t="shared" si="6"/>
        <v>110764.79999999999</v>
      </c>
      <c r="FF541" s="38">
        <f t="shared" si="7"/>
        <v>0</v>
      </c>
      <c r="FG541" s="45">
        <f t="shared" si="9"/>
        <v>1860652.8000000003</v>
      </c>
      <c r="FH541" s="38">
        <f>SUM(FE$518:FE541)*$FE$502</f>
        <v>651228.4800000001</v>
      </c>
      <c r="FI541" s="38"/>
      <c r="FJ541" s="98"/>
      <c r="FK541" s="35">
        <v>39</v>
      </c>
      <c r="FL541" s="40">
        <f t="shared" si="1"/>
        <v>38.833333333333336</v>
      </c>
      <c r="FM541" s="35">
        <v>36</v>
      </c>
      <c r="FN541" s="35">
        <v>0</v>
      </c>
      <c r="FO541" s="40">
        <f t="shared" si="2"/>
        <v>36</v>
      </c>
      <c r="FQ541" s="35">
        <v>39</v>
      </c>
      <c r="FR541" s="35">
        <v>79</v>
      </c>
      <c r="FT541" s="35">
        <v>39</v>
      </c>
      <c r="FU541" s="35">
        <f>FT541*1.5+0.5</f>
        <v>59</v>
      </c>
      <c r="FW541" s="114">
        <v>770</v>
      </c>
      <c r="FX541" s="146">
        <v>63570</v>
      </c>
      <c r="FY541" s="35">
        <v>40</v>
      </c>
      <c r="FZ541" s="135"/>
      <c r="GA541" s="135"/>
      <c r="GB541" s="42"/>
    </row>
    <row r="542" spans="155:186" s="35" customFormat="1" x14ac:dyDescent="0.25">
      <c r="EY542" s="117"/>
      <c r="EZ542" s="145"/>
      <c r="FA542" s="35">
        <v>25</v>
      </c>
      <c r="FB542" s="41">
        <v>410</v>
      </c>
      <c r="FC542" s="146">
        <v>39610</v>
      </c>
      <c r="FD542" s="97">
        <f t="shared" si="8"/>
        <v>39610</v>
      </c>
      <c r="FE542" s="45">
        <f t="shared" si="6"/>
        <v>114076.79999999999</v>
      </c>
      <c r="FF542" s="38">
        <f t="shared" si="7"/>
        <v>0</v>
      </c>
      <c r="FG542" s="45">
        <f t="shared" si="9"/>
        <v>1974729.6000000003</v>
      </c>
      <c r="FH542" s="38">
        <f>SUM(FE$518:FE542)*$FE$502</f>
        <v>691155.3600000001</v>
      </c>
      <c r="FI542" s="38"/>
      <c r="FJ542" s="98"/>
      <c r="FK542" s="35">
        <v>40</v>
      </c>
      <c r="FL542" s="40">
        <f t="shared" si="1"/>
        <v>39.833333333333336</v>
      </c>
      <c r="FM542" s="35">
        <v>36</v>
      </c>
      <c r="FN542" s="35">
        <v>0</v>
      </c>
      <c r="FO542" s="40">
        <f t="shared" si="2"/>
        <v>36</v>
      </c>
      <c r="FQ542" s="35">
        <v>40</v>
      </c>
      <c r="FR542" s="35">
        <v>81</v>
      </c>
      <c r="FT542" s="35">
        <v>40</v>
      </c>
      <c r="FU542" s="35">
        <f>FT542*1.5</f>
        <v>60</v>
      </c>
      <c r="FW542" s="114">
        <v>770</v>
      </c>
      <c r="FX542" s="146">
        <v>63570</v>
      </c>
      <c r="FY542" s="35">
        <v>40</v>
      </c>
      <c r="FZ542" s="135"/>
      <c r="GA542" s="135"/>
      <c r="GB542" s="42"/>
    </row>
    <row r="543" spans="155:186" s="35" customFormat="1" x14ac:dyDescent="0.25">
      <c r="EY543" s="117"/>
      <c r="EZ543" s="145"/>
      <c r="FA543" s="35">
        <v>26</v>
      </c>
      <c r="FB543" s="41">
        <v>430</v>
      </c>
      <c r="FC543" s="146">
        <v>40760</v>
      </c>
      <c r="FD543" s="97">
        <f t="shared" si="8"/>
        <v>40760</v>
      </c>
      <c r="FE543" s="45">
        <f t="shared" si="6"/>
        <v>117388.79999999999</v>
      </c>
      <c r="FF543" s="38">
        <f t="shared" si="7"/>
        <v>0</v>
      </c>
      <c r="FG543" s="45">
        <f t="shared" si="9"/>
        <v>2092118.4000000004</v>
      </c>
      <c r="FH543" s="38">
        <f>SUM(FE$518:FE543)*$FE$502</f>
        <v>732241.44000000006</v>
      </c>
      <c r="FI543" s="38"/>
      <c r="FJ543" s="98"/>
      <c r="FW543" s="114">
        <v>770</v>
      </c>
      <c r="FX543" s="146">
        <v>63570</v>
      </c>
      <c r="FY543" s="35">
        <v>40</v>
      </c>
      <c r="FZ543" s="135"/>
      <c r="GA543" s="135"/>
      <c r="GB543" s="42"/>
    </row>
    <row r="544" spans="155:186" s="35" customFormat="1" x14ac:dyDescent="0.25">
      <c r="EY544" s="117"/>
      <c r="EZ544" s="145"/>
      <c r="FA544" s="35">
        <v>27</v>
      </c>
      <c r="FB544" s="41">
        <v>450</v>
      </c>
      <c r="FC544" s="146">
        <v>41900</v>
      </c>
      <c r="FD544" s="97">
        <f t="shared" si="8"/>
        <v>41900</v>
      </c>
      <c r="FE544" s="45">
        <f t="shared" si="6"/>
        <v>120672</v>
      </c>
      <c r="FF544" s="38">
        <f t="shared" si="7"/>
        <v>0</v>
      </c>
      <c r="FG544" s="45">
        <f t="shared" si="9"/>
        <v>2212790.4000000004</v>
      </c>
      <c r="FH544" s="38">
        <f>SUM(FE$518:FE544)*$FE$502</f>
        <v>774476.64000000013</v>
      </c>
      <c r="FI544" s="38"/>
      <c r="FJ544" s="98"/>
      <c r="FL544" s="40"/>
      <c r="FW544" s="114">
        <v>770</v>
      </c>
      <c r="FX544" s="146">
        <v>63570</v>
      </c>
      <c r="FY544" s="35">
        <v>40</v>
      </c>
      <c r="FZ544" s="135"/>
      <c r="GA544" s="135"/>
      <c r="GB544" s="42"/>
    </row>
    <row r="545" spans="155:185" s="35" customFormat="1" x14ac:dyDescent="0.25">
      <c r="EY545" s="117"/>
      <c r="EZ545" s="145"/>
      <c r="FA545" s="35">
        <v>28</v>
      </c>
      <c r="FB545" s="41">
        <v>475</v>
      </c>
      <c r="FC545" s="146">
        <v>44970</v>
      </c>
      <c r="FD545" s="97">
        <f t="shared" si="8"/>
        <v>44970</v>
      </c>
      <c r="FE545" s="45">
        <f t="shared" si="6"/>
        <v>129513.59999999999</v>
      </c>
      <c r="FF545" s="38">
        <f t="shared" si="7"/>
        <v>0</v>
      </c>
      <c r="FG545" s="45">
        <f t="shared" si="9"/>
        <v>2342304.0000000005</v>
      </c>
      <c r="FH545" s="38">
        <f>SUM(FE$518:FE545)*$FE$502</f>
        <v>819806.40000000014</v>
      </c>
      <c r="FI545" s="38"/>
      <c r="FJ545" s="98"/>
      <c r="FW545" s="114">
        <v>770</v>
      </c>
      <c r="FX545" s="146">
        <v>63570</v>
      </c>
      <c r="FY545" s="35">
        <v>40</v>
      </c>
      <c r="FZ545" s="135"/>
      <c r="GA545" s="135"/>
      <c r="GB545" s="42"/>
    </row>
    <row r="546" spans="155:185" s="35" customFormat="1" x14ac:dyDescent="0.25">
      <c r="EY546" s="117"/>
      <c r="EZ546" s="145"/>
      <c r="FA546" s="35">
        <v>29</v>
      </c>
      <c r="FB546" s="41">
        <v>500</v>
      </c>
      <c r="FC546" s="146">
        <v>46500</v>
      </c>
      <c r="FD546" s="97">
        <f t="shared" si="8"/>
        <v>46500</v>
      </c>
      <c r="FE546" s="45">
        <f t="shared" si="6"/>
        <v>133920</v>
      </c>
      <c r="FF546" s="38">
        <f t="shared" si="7"/>
        <v>0</v>
      </c>
      <c r="FG546" s="45">
        <f t="shared" si="9"/>
        <v>2476224.0000000005</v>
      </c>
      <c r="FH546" s="38">
        <f>SUM(FE$518:FE546)*$FE$502</f>
        <v>866678.40000000014</v>
      </c>
      <c r="FI546" s="38"/>
      <c r="FJ546" s="98"/>
      <c r="FW546" s="114">
        <v>770</v>
      </c>
      <c r="FX546" s="146">
        <v>63570</v>
      </c>
      <c r="FY546" s="35">
        <v>40</v>
      </c>
      <c r="FZ546" s="135"/>
      <c r="GA546" s="135"/>
      <c r="GB546" s="42"/>
    </row>
    <row r="547" spans="155:185" s="35" customFormat="1" x14ac:dyDescent="0.25">
      <c r="EY547" s="117"/>
      <c r="EZ547" s="145"/>
      <c r="FA547" s="35">
        <v>30</v>
      </c>
      <c r="FB547" s="41">
        <v>525</v>
      </c>
      <c r="FC547" s="146">
        <v>48030</v>
      </c>
      <c r="FD547" s="97">
        <f t="shared" si="8"/>
        <v>48030</v>
      </c>
      <c r="FE547" s="45">
        <f t="shared" si="6"/>
        <v>138326.39999999999</v>
      </c>
      <c r="FF547" s="38">
        <f t="shared" si="7"/>
        <v>0</v>
      </c>
      <c r="FG547" s="45">
        <f t="shared" si="9"/>
        <v>2614550.4000000004</v>
      </c>
      <c r="FH547" s="38">
        <f>SUM(FE$518:FE547)*$FE$502</f>
        <v>915092.64000000013</v>
      </c>
      <c r="FI547" s="38"/>
      <c r="FJ547" s="98"/>
      <c r="FW547" s="114">
        <v>770</v>
      </c>
      <c r="FX547" s="146">
        <v>63570</v>
      </c>
      <c r="FY547" s="35">
        <v>40</v>
      </c>
      <c r="FZ547" s="135"/>
      <c r="GA547" s="135"/>
      <c r="GB547" s="42"/>
    </row>
    <row r="548" spans="155:185" s="35" customFormat="1" x14ac:dyDescent="0.25">
      <c r="EY548" s="117"/>
      <c r="EZ548" s="145"/>
      <c r="FA548" s="35">
        <v>31</v>
      </c>
      <c r="FB548" s="41">
        <v>550</v>
      </c>
      <c r="FC548" s="146">
        <v>49560</v>
      </c>
      <c r="FD548" s="97">
        <f t="shared" si="8"/>
        <v>49560</v>
      </c>
      <c r="FE548" s="45">
        <f t="shared" si="6"/>
        <v>142732.79999999999</v>
      </c>
      <c r="FF548" s="38">
        <f t="shared" si="7"/>
        <v>0</v>
      </c>
      <c r="FG548" s="45">
        <f t="shared" si="9"/>
        <v>2757283.2</v>
      </c>
      <c r="FH548" s="38">
        <f>SUM(FE$518:FE548)*$FE$502</f>
        <v>965049.12</v>
      </c>
      <c r="FI548" s="38"/>
      <c r="FJ548" s="98"/>
      <c r="FW548" s="114">
        <v>770</v>
      </c>
      <c r="FX548" s="146">
        <v>63570</v>
      </c>
      <c r="FY548" s="35">
        <v>40</v>
      </c>
      <c r="FZ548" s="135"/>
      <c r="GA548" s="135"/>
      <c r="GB548" s="42"/>
    </row>
    <row r="549" spans="155:185" s="35" customFormat="1" x14ac:dyDescent="0.25">
      <c r="EY549" s="117"/>
      <c r="EZ549" s="145"/>
      <c r="FA549" s="35">
        <v>32</v>
      </c>
      <c r="FB549" s="41">
        <v>575</v>
      </c>
      <c r="FC549" s="146">
        <v>51100</v>
      </c>
      <c r="FD549" s="97">
        <f t="shared" si="8"/>
        <v>51100</v>
      </c>
      <c r="FE549" s="45">
        <f t="shared" si="6"/>
        <v>147168</v>
      </c>
      <c r="FF549" s="38">
        <f t="shared" si="7"/>
        <v>0</v>
      </c>
      <c r="FG549" s="45">
        <f t="shared" si="9"/>
        <v>2904451.2</v>
      </c>
      <c r="FH549" s="38">
        <f>SUM(FE$518:FE549)*$FE$502</f>
        <v>1016557.92</v>
      </c>
      <c r="FI549" s="38"/>
      <c r="FJ549" s="98"/>
      <c r="FW549" s="114">
        <v>770</v>
      </c>
      <c r="FX549" s="146">
        <v>63570</v>
      </c>
      <c r="FY549" s="35">
        <v>40</v>
      </c>
      <c r="FZ549" s="135"/>
      <c r="GA549" s="135"/>
      <c r="GB549" s="42"/>
    </row>
    <row r="550" spans="155:185" x14ac:dyDescent="0.25">
      <c r="EY550" s="117"/>
      <c r="EZ550" s="145"/>
      <c r="FA550" s="35">
        <v>33</v>
      </c>
      <c r="FB550" s="41">
        <v>600</v>
      </c>
      <c r="FC550" s="146">
        <v>52630</v>
      </c>
      <c r="FD550" s="97">
        <f t="shared" ref="FD550:FD581" si="10">FC550*(1+$FB$508)^(FA550-1)</f>
        <v>52630</v>
      </c>
      <c r="FE550" s="45">
        <f t="shared" ref="FE550:FE581" si="11">FD550*2*$FB$507*12</f>
        <v>151574.39999999999</v>
      </c>
      <c r="FF550" s="38">
        <f t="shared" ref="FF550:FF581" si="12">FV($FC$506/12,12,-FE550/12,,0)-FE550</f>
        <v>0</v>
      </c>
      <c r="FG550" s="45">
        <f t="shared" si="9"/>
        <v>3056025.6000000001</v>
      </c>
      <c r="FH550" s="38">
        <f>SUM(FE$518:FE550)*$FE$502</f>
        <v>1069608.96</v>
      </c>
      <c r="FI550" s="35"/>
      <c r="FJ550" s="98"/>
      <c r="FK550" s="35"/>
      <c r="FL550" s="35"/>
      <c r="FM550" s="35"/>
      <c r="FN550" s="35"/>
      <c r="FO550" s="35"/>
      <c r="FP550" s="35"/>
      <c r="FQ550" s="35"/>
      <c r="FR550" s="35"/>
      <c r="FS550" s="35"/>
      <c r="FT550" s="35"/>
      <c r="FU550" s="35"/>
      <c r="FV550" s="35"/>
      <c r="FW550" s="114">
        <v>770</v>
      </c>
      <c r="FX550" s="146">
        <v>63570</v>
      </c>
      <c r="FY550" s="35">
        <v>40</v>
      </c>
      <c r="FZ550" s="135"/>
      <c r="GA550" s="135"/>
      <c r="GB550" s="42"/>
      <c r="GC550" s="78"/>
    </row>
    <row r="551" spans="155:185" x14ac:dyDescent="0.25">
      <c r="EY551" s="117"/>
      <c r="EZ551" s="145"/>
      <c r="FA551" s="32">
        <v>34</v>
      </c>
      <c r="FB551" s="65">
        <v>625</v>
      </c>
      <c r="FC551" s="146">
        <v>54160</v>
      </c>
      <c r="FD551" s="109">
        <f t="shared" si="10"/>
        <v>54160</v>
      </c>
      <c r="FE551" s="76">
        <f t="shared" si="11"/>
        <v>155980.79999999999</v>
      </c>
      <c r="FF551" s="67">
        <f t="shared" si="12"/>
        <v>0</v>
      </c>
      <c r="FG551" s="76">
        <f t="shared" ref="FG551:FG582" si="13">FG550*(1+$FC$506)+FE551+FF551</f>
        <v>3212006.4</v>
      </c>
      <c r="FH551" s="67">
        <f>SUM(FE$518:FE551)*$FE$502</f>
        <v>1124202.24</v>
      </c>
      <c r="FJ551" s="72"/>
      <c r="FW551" s="114">
        <v>770</v>
      </c>
      <c r="FX551" s="146">
        <v>63570</v>
      </c>
      <c r="FY551" s="32">
        <v>40</v>
      </c>
      <c r="FZ551" s="135"/>
      <c r="GA551" s="135"/>
      <c r="GB551" s="66"/>
      <c r="GC551" s="78"/>
    </row>
    <row r="552" spans="155:185" s="78" customFormat="1" x14ac:dyDescent="0.25">
      <c r="EY552" s="117"/>
      <c r="FA552" s="32">
        <v>35</v>
      </c>
      <c r="FB552" s="65">
        <v>650</v>
      </c>
      <c r="FC552" s="146">
        <v>55690</v>
      </c>
      <c r="FD552" s="109">
        <f t="shared" si="10"/>
        <v>55690</v>
      </c>
      <c r="FE552" s="76">
        <f t="shared" si="11"/>
        <v>160387.20000000001</v>
      </c>
      <c r="FF552" s="67">
        <f t="shared" si="12"/>
        <v>0</v>
      </c>
      <c r="FG552" s="76">
        <f t="shared" si="13"/>
        <v>3372393.6</v>
      </c>
      <c r="FH552" s="67">
        <f>SUM(FE$518:FE552)*$FE$502</f>
        <v>1180337.76</v>
      </c>
      <c r="FK552" s="32"/>
      <c r="FL552" s="32"/>
      <c r="FM552" s="32"/>
      <c r="FN552" s="32"/>
      <c r="FO552" s="32"/>
      <c r="FP552" s="32"/>
      <c r="FQ552" s="32"/>
      <c r="FR552" s="32"/>
      <c r="FS552" s="32"/>
      <c r="FT552" s="32"/>
      <c r="FU552" s="32"/>
      <c r="FV552" s="32"/>
      <c r="FW552" s="114">
        <v>770</v>
      </c>
      <c r="FX552" s="146">
        <v>63570</v>
      </c>
      <c r="FY552" s="32">
        <v>40</v>
      </c>
      <c r="FZ552" s="135"/>
      <c r="GA552" s="135"/>
      <c r="GB552" s="66"/>
    </row>
    <row r="553" spans="155:185" s="78" customFormat="1" x14ac:dyDescent="0.25">
      <c r="EY553" s="117"/>
      <c r="EZ553" s="118"/>
      <c r="FA553" s="32">
        <v>36</v>
      </c>
      <c r="FB553" s="65">
        <v>680</v>
      </c>
      <c r="FC553" s="146">
        <v>57220</v>
      </c>
      <c r="FD553" s="109">
        <f t="shared" si="10"/>
        <v>57220</v>
      </c>
      <c r="FE553" s="76">
        <f t="shared" si="11"/>
        <v>164793.59999999998</v>
      </c>
      <c r="FF553" s="67">
        <f t="shared" si="12"/>
        <v>0</v>
      </c>
      <c r="FG553" s="76">
        <f t="shared" si="13"/>
        <v>3537187.2</v>
      </c>
      <c r="FH553" s="67">
        <f>SUM(FE$518:FE553)*$FE$502</f>
        <v>1238015.52</v>
      </c>
      <c r="FK553" s="32"/>
      <c r="FL553" s="32"/>
      <c r="FM553" s="32"/>
      <c r="FN553" s="32"/>
      <c r="FO553" s="32"/>
      <c r="FP553" s="32"/>
      <c r="FQ553" s="32"/>
      <c r="FR553" s="32"/>
      <c r="FS553" s="32"/>
      <c r="FT553" s="32"/>
      <c r="FU553" s="32"/>
      <c r="FV553" s="32"/>
      <c r="FW553" s="114">
        <v>770</v>
      </c>
      <c r="FX553" s="146">
        <v>63570</v>
      </c>
      <c r="FY553" s="32">
        <v>40</v>
      </c>
      <c r="FZ553" s="135"/>
      <c r="GA553" s="135"/>
      <c r="GB553" s="66"/>
    </row>
    <row r="554" spans="155:185" s="78" customFormat="1" x14ac:dyDescent="0.25">
      <c r="EY554" s="117"/>
      <c r="EZ554" s="118"/>
      <c r="FA554" s="32">
        <v>37</v>
      </c>
      <c r="FB554" s="65">
        <v>710</v>
      </c>
      <c r="FC554" s="146">
        <v>59520</v>
      </c>
      <c r="FD554" s="109">
        <f t="shared" si="10"/>
        <v>59520</v>
      </c>
      <c r="FE554" s="76">
        <f t="shared" si="11"/>
        <v>171417.59999999998</v>
      </c>
      <c r="FF554" s="67">
        <f t="shared" si="12"/>
        <v>0</v>
      </c>
      <c r="FG554" s="76">
        <f t="shared" si="13"/>
        <v>3708604.8000000003</v>
      </c>
      <c r="FH554" s="67">
        <f>SUM(FE$518:FE554)*$FE$502</f>
        <v>1298011.68</v>
      </c>
      <c r="FK554" s="32"/>
      <c r="FL554" s="32"/>
      <c r="FM554" s="32"/>
      <c r="FN554" s="32"/>
      <c r="FO554" s="32"/>
      <c r="FP554" s="32"/>
      <c r="FQ554" s="32"/>
      <c r="FR554" s="32"/>
      <c r="FS554" s="32"/>
      <c r="FT554" s="32"/>
      <c r="FU554" s="32"/>
      <c r="FV554" s="32"/>
      <c r="FW554" s="114">
        <v>770</v>
      </c>
      <c r="FX554" s="146">
        <v>63570</v>
      </c>
      <c r="FY554" s="32">
        <v>40</v>
      </c>
      <c r="FZ554" s="135"/>
      <c r="GA554" s="135"/>
      <c r="GB554" s="66"/>
      <c r="GC554" s="32"/>
    </row>
    <row r="555" spans="155:185" s="78" customFormat="1" x14ac:dyDescent="0.25">
      <c r="EY555" s="117"/>
      <c r="EZ555" s="118"/>
      <c r="FA555" s="32">
        <v>38</v>
      </c>
      <c r="FB555" s="65">
        <v>740</v>
      </c>
      <c r="FC555" s="146">
        <v>60290</v>
      </c>
      <c r="FD555" s="109">
        <f t="shared" si="10"/>
        <v>60290</v>
      </c>
      <c r="FE555" s="76">
        <f t="shared" si="11"/>
        <v>173635.20000000001</v>
      </c>
      <c r="FF555" s="67">
        <f t="shared" si="12"/>
        <v>0</v>
      </c>
      <c r="FG555" s="76">
        <f t="shared" si="13"/>
        <v>3882240.0000000005</v>
      </c>
      <c r="FH555" s="67">
        <f>SUM(FE$518:FE555)*$FE$502</f>
        <v>1358784</v>
      </c>
      <c r="FK555" s="32"/>
      <c r="FL555" s="32"/>
      <c r="FM555" s="32"/>
      <c r="FN555" s="32"/>
      <c r="FO555" s="32"/>
      <c r="FP555" s="32"/>
      <c r="FQ555" s="32"/>
      <c r="FR555" s="32"/>
      <c r="FS555" s="32"/>
      <c r="FT555" s="32"/>
      <c r="FU555" s="32"/>
      <c r="FV555" s="32"/>
      <c r="FW555" s="114">
        <v>770</v>
      </c>
      <c r="FX555" s="146">
        <v>63570</v>
      </c>
      <c r="FY555" s="32">
        <v>40</v>
      </c>
      <c r="FZ555" s="135"/>
      <c r="GA555" s="135"/>
      <c r="GB555" s="66"/>
      <c r="GC555" s="32"/>
    </row>
    <row r="556" spans="155:185" x14ac:dyDescent="0.25">
      <c r="EY556" s="117"/>
      <c r="EZ556" s="118"/>
      <c r="FA556" s="32">
        <v>39</v>
      </c>
      <c r="FB556" s="65">
        <v>770</v>
      </c>
      <c r="FC556" s="146">
        <v>63570</v>
      </c>
      <c r="FD556" s="109">
        <f t="shared" si="10"/>
        <v>63570</v>
      </c>
      <c r="FE556" s="76">
        <f t="shared" si="11"/>
        <v>183081.59999999998</v>
      </c>
      <c r="FF556" s="67">
        <f t="shared" si="12"/>
        <v>0</v>
      </c>
      <c r="FG556" s="76">
        <f t="shared" si="13"/>
        <v>4065321.6000000006</v>
      </c>
      <c r="FH556" s="67">
        <f>SUM(FE$518:FE556)*$FE$502</f>
        <v>1422862.56</v>
      </c>
      <c r="FW556" s="114">
        <v>770</v>
      </c>
      <c r="FX556" s="146">
        <v>63570</v>
      </c>
      <c r="FY556" s="32">
        <v>40</v>
      </c>
      <c r="FZ556" s="135"/>
      <c r="GA556" s="135"/>
      <c r="GB556" s="66"/>
    </row>
    <row r="557" spans="155:185" x14ac:dyDescent="0.25">
      <c r="EY557" s="119"/>
      <c r="EZ557" s="118"/>
      <c r="FA557" s="32">
        <v>40</v>
      </c>
      <c r="FB557" s="65">
        <v>770</v>
      </c>
      <c r="FC557" s="146">
        <v>63570</v>
      </c>
      <c r="FD557" s="109">
        <f t="shared" si="10"/>
        <v>63570</v>
      </c>
      <c r="FE557" s="76">
        <f t="shared" si="11"/>
        <v>183081.59999999998</v>
      </c>
      <c r="FF557" s="67">
        <f t="shared" si="12"/>
        <v>0</v>
      </c>
      <c r="FG557" s="76">
        <f t="shared" si="13"/>
        <v>4248403.2</v>
      </c>
      <c r="FH557" s="67">
        <f>SUM(FE$518:FE557)*$FE$502</f>
        <v>1486941.1199999999</v>
      </c>
      <c r="FW557" s="114">
        <v>770</v>
      </c>
      <c r="FX557" s="146">
        <v>63570</v>
      </c>
      <c r="FY557" s="32">
        <v>40</v>
      </c>
      <c r="FZ557" s="135"/>
      <c r="GA557" s="135"/>
      <c r="GB557" s="66"/>
    </row>
    <row r="558" spans="155:185" x14ac:dyDescent="0.25">
      <c r="EY558" s="119"/>
      <c r="EZ558" s="118"/>
      <c r="FA558" s="32">
        <v>41</v>
      </c>
      <c r="FB558" s="65">
        <v>770</v>
      </c>
      <c r="FC558" s="146">
        <v>63570</v>
      </c>
      <c r="FD558" s="109">
        <f t="shared" si="10"/>
        <v>63570</v>
      </c>
      <c r="FE558" s="76">
        <f t="shared" si="11"/>
        <v>183081.59999999998</v>
      </c>
      <c r="FF558" s="67">
        <f t="shared" si="12"/>
        <v>0</v>
      </c>
      <c r="FG558" s="76">
        <f t="shared" si="13"/>
        <v>4431484.8</v>
      </c>
      <c r="FH558" s="67">
        <f>SUM(FE$518:FE558)*$FE$502</f>
        <v>1551019.68</v>
      </c>
      <c r="FI558" s="67"/>
      <c r="FW558" s="114">
        <v>770</v>
      </c>
      <c r="FX558" s="146">
        <v>63570</v>
      </c>
      <c r="FY558" s="32">
        <v>40</v>
      </c>
      <c r="FZ558" s="135"/>
      <c r="GA558" s="135"/>
      <c r="GB558" s="66"/>
    </row>
    <row r="559" spans="155:185" x14ac:dyDescent="0.25">
      <c r="EY559" s="119"/>
      <c r="EZ559" s="118"/>
      <c r="FA559" s="32">
        <v>42</v>
      </c>
      <c r="FB559" s="65">
        <v>770</v>
      </c>
      <c r="FC559" s="146">
        <v>63570</v>
      </c>
      <c r="FD559" s="109">
        <f t="shared" si="10"/>
        <v>63570</v>
      </c>
      <c r="FE559" s="76">
        <f t="shared" si="11"/>
        <v>183081.59999999998</v>
      </c>
      <c r="FF559" s="67">
        <f t="shared" si="12"/>
        <v>0</v>
      </c>
      <c r="FG559" s="76">
        <f t="shared" si="13"/>
        <v>4614566.3999999994</v>
      </c>
      <c r="FH559" s="67">
        <f>SUM(FE$518:FE559)*$FE$502</f>
        <v>1615098.2399999998</v>
      </c>
      <c r="FI559" s="67"/>
      <c r="FW559" s="114">
        <v>770</v>
      </c>
      <c r="FX559" s="146">
        <v>63570</v>
      </c>
      <c r="FY559" s="32">
        <v>40</v>
      </c>
      <c r="FZ559" s="135"/>
      <c r="GA559" s="135"/>
      <c r="GB559" s="66"/>
    </row>
    <row r="560" spans="155:185" x14ac:dyDescent="0.25">
      <c r="EY560" s="119"/>
      <c r="EZ560" s="118"/>
      <c r="FA560" s="32">
        <v>43</v>
      </c>
      <c r="FB560" s="65">
        <v>770</v>
      </c>
      <c r="FC560" s="146">
        <v>63570</v>
      </c>
      <c r="FD560" s="109">
        <f t="shared" si="10"/>
        <v>63570</v>
      </c>
      <c r="FE560" s="76">
        <f t="shared" si="11"/>
        <v>183081.59999999998</v>
      </c>
      <c r="FF560" s="67">
        <f t="shared" si="12"/>
        <v>0</v>
      </c>
      <c r="FG560" s="76">
        <f t="shared" si="13"/>
        <v>4797647.9999999991</v>
      </c>
      <c r="FH560" s="67">
        <f>SUM(FE$518:FE560)*$FE$502</f>
        <v>1679176.7999999996</v>
      </c>
      <c r="FI560" s="67"/>
      <c r="FW560" s="114">
        <v>770</v>
      </c>
      <c r="FX560" s="146">
        <v>63570</v>
      </c>
      <c r="FY560" s="32">
        <v>40</v>
      </c>
      <c r="FZ560" s="135"/>
      <c r="GA560" s="135"/>
      <c r="GB560" s="66"/>
    </row>
    <row r="561" spans="155:184" x14ac:dyDescent="0.25">
      <c r="EY561" s="119"/>
      <c r="EZ561" s="118"/>
      <c r="FA561" s="32">
        <v>44</v>
      </c>
      <c r="FB561" s="65">
        <v>770</v>
      </c>
      <c r="FC561" s="146">
        <v>63570</v>
      </c>
      <c r="FD561" s="109">
        <f t="shared" si="10"/>
        <v>63570</v>
      </c>
      <c r="FE561" s="76">
        <f t="shared" si="11"/>
        <v>183081.59999999998</v>
      </c>
      <c r="FF561" s="67">
        <f t="shared" si="12"/>
        <v>0</v>
      </c>
      <c r="FG561" s="76">
        <f t="shared" si="13"/>
        <v>4980729.5999999987</v>
      </c>
      <c r="FH561" s="67">
        <f>SUM(FE$518:FE561)*$FE$502</f>
        <v>1743255.3599999994</v>
      </c>
      <c r="FI561" s="67"/>
      <c r="FW561" s="114">
        <v>770</v>
      </c>
      <c r="FX561" s="146">
        <v>63570</v>
      </c>
      <c r="FY561" s="32">
        <v>40</v>
      </c>
      <c r="FZ561" s="135"/>
      <c r="GA561" s="135"/>
      <c r="GB561" s="66"/>
    </row>
    <row r="562" spans="155:184" x14ac:dyDescent="0.25">
      <c r="EY562" s="119"/>
      <c r="EZ562" s="118"/>
      <c r="FA562" s="32">
        <v>45</v>
      </c>
      <c r="FB562" s="65">
        <v>770</v>
      </c>
      <c r="FC562" s="146">
        <v>63570</v>
      </c>
      <c r="FD562" s="109">
        <f t="shared" si="10"/>
        <v>63570</v>
      </c>
      <c r="FE562" s="76">
        <f t="shared" si="11"/>
        <v>183081.59999999998</v>
      </c>
      <c r="FF562" s="67">
        <f t="shared" si="12"/>
        <v>0</v>
      </c>
      <c r="FG562" s="76">
        <f t="shared" si="13"/>
        <v>5163811.1999999983</v>
      </c>
      <c r="FH562" s="67">
        <f>SUM(FE$518:FE562)*$FE$502</f>
        <v>1807333.9199999992</v>
      </c>
      <c r="FI562" s="67"/>
      <c r="FW562" s="114">
        <v>770</v>
      </c>
      <c r="FX562" s="146">
        <v>63570</v>
      </c>
      <c r="FY562" s="32">
        <v>40</v>
      </c>
      <c r="FZ562" s="135"/>
      <c r="GA562" s="135"/>
      <c r="GB562" s="66"/>
    </row>
    <row r="563" spans="155:184" x14ac:dyDescent="0.25">
      <c r="EY563" s="119"/>
      <c r="EZ563" s="118"/>
      <c r="FA563" s="32">
        <v>46</v>
      </c>
      <c r="FB563" s="65">
        <v>770</v>
      </c>
      <c r="FC563" s="146">
        <v>63570</v>
      </c>
      <c r="FD563" s="109">
        <f t="shared" si="10"/>
        <v>63570</v>
      </c>
      <c r="FE563" s="76">
        <f t="shared" si="11"/>
        <v>183081.59999999998</v>
      </c>
      <c r="FF563" s="67">
        <f t="shared" si="12"/>
        <v>0</v>
      </c>
      <c r="FG563" s="76">
        <f t="shared" si="13"/>
        <v>5346892.799999998</v>
      </c>
      <c r="FH563" s="67">
        <f>SUM(FE$518:FE563)*$FE$502</f>
        <v>1871412.4799999991</v>
      </c>
      <c r="FI563" s="67"/>
      <c r="FW563" s="114">
        <v>770</v>
      </c>
      <c r="FX563" s="146">
        <v>63570</v>
      </c>
      <c r="FY563" s="32">
        <v>40</v>
      </c>
      <c r="FZ563" s="135"/>
      <c r="GA563" s="135"/>
      <c r="GB563" s="66"/>
    </row>
    <row r="564" spans="155:184" x14ac:dyDescent="0.25">
      <c r="EY564" s="119"/>
      <c r="EZ564" s="118"/>
      <c r="FA564" s="32">
        <v>47</v>
      </c>
      <c r="FB564" s="65">
        <v>770</v>
      </c>
      <c r="FC564" s="146">
        <v>63570</v>
      </c>
      <c r="FD564" s="109">
        <f t="shared" si="10"/>
        <v>63570</v>
      </c>
      <c r="FE564" s="76">
        <f t="shared" si="11"/>
        <v>183081.59999999998</v>
      </c>
      <c r="FF564" s="67">
        <f t="shared" si="12"/>
        <v>0</v>
      </c>
      <c r="FG564" s="76">
        <f t="shared" si="13"/>
        <v>5529974.3999999976</v>
      </c>
      <c r="FH564" s="67">
        <f>SUM(FE$518:FE564)*$FE$502</f>
        <v>1935491.0399999991</v>
      </c>
      <c r="FI564" s="67"/>
      <c r="FW564" s="114">
        <v>770</v>
      </c>
      <c r="FX564" s="146">
        <v>63570</v>
      </c>
      <c r="FY564" s="32">
        <v>40</v>
      </c>
      <c r="FZ564" s="135"/>
      <c r="GA564" s="135"/>
      <c r="GB564" s="66"/>
    </row>
    <row r="565" spans="155:184" x14ac:dyDescent="0.25">
      <c r="EY565" s="119"/>
      <c r="EZ565" s="118"/>
      <c r="FA565" s="32">
        <v>48</v>
      </c>
      <c r="FB565" s="65">
        <v>770</v>
      </c>
      <c r="FC565" s="146">
        <v>63570</v>
      </c>
      <c r="FD565" s="109">
        <f t="shared" si="10"/>
        <v>63570</v>
      </c>
      <c r="FE565" s="76">
        <f t="shared" si="11"/>
        <v>183081.59999999998</v>
      </c>
      <c r="FF565" s="67">
        <f t="shared" si="12"/>
        <v>0</v>
      </c>
      <c r="FG565" s="76">
        <f t="shared" si="13"/>
        <v>5713055.9999999972</v>
      </c>
      <c r="FH565" s="67">
        <f>SUM(FE$518:FE565)*$FE$502</f>
        <v>1999569.5999999989</v>
      </c>
      <c r="FW565" s="114">
        <v>770</v>
      </c>
      <c r="FX565" s="146">
        <v>63570</v>
      </c>
      <c r="FY565" s="32">
        <v>40</v>
      </c>
      <c r="FZ565" s="135"/>
      <c r="GA565" s="135"/>
      <c r="GB565" s="66"/>
    </row>
    <row r="566" spans="155:184" x14ac:dyDescent="0.25">
      <c r="EY566" s="119"/>
      <c r="EZ566" s="118"/>
      <c r="FA566" s="32">
        <v>49</v>
      </c>
      <c r="FB566" s="65">
        <v>770</v>
      </c>
      <c r="FC566" s="146">
        <v>63570</v>
      </c>
      <c r="FD566" s="109">
        <f t="shared" si="10"/>
        <v>63570</v>
      </c>
      <c r="FE566" s="76">
        <f t="shared" si="11"/>
        <v>183081.59999999998</v>
      </c>
      <c r="FF566" s="67">
        <f t="shared" si="12"/>
        <v>0</v>
      </c>
      <c r="FG566" s="76">
        <f t="shared" si="13"/>
        <v>5896137.5999999968</v>
      </c>
      <c r="FH566" s="67">
        <f>SUM(FE$518:FE566)*$FE$502</f>
        <v>2063648.1599999988</v>
      </c>
      <c r="FW566" s="114">
        <v>770</v>
      </c>
      <c r="FX566" s="146">
        <v>63570</v>
      </c>
      <c r="FY566" s="32">
        <v>40</v>
      </c>
      <c r="FZ566" s="135"/>
      <c r="GA566" s="135"/>
      <c r="GB566" s="66"/>
    </row>
    <row r="567" spans="155:184" x14ac:dyDescent="0.25">
      <c r="EY567" s="119"/>
      <c r="EZ567" s="118"/>
      <c r="FA567" s="32">
        <v>50</v>
      </c>
      <c r="FB567" s="65">
        <v>770</v>
      </c>
      <c r="FC567" s="146">
        <v>63570</v>
      </c>
      <c r="FD567" s="109">
        <f t="shared" si="10"/>
        <v>63570</v>
      </c>
      <c r="FE567" s="76">
        <f t="shared" si="11"/>
        <v>183081.59999999998</v>
      </c>
      <c r="FF567" s="67">
        <f t="shared" si="12"/>
        <v>0</v>
      </c>
      <c r="FG567" s="76">
        <f t="shared" si="13"/>
        <v>6079219.1999999965</v>
      </c>
      <c r="FH567" s="67">
        <f>SUM(FE$518:FE567)*$FE$502</f>
        <v>2127726.7199999988</v>
      </c>
      <c r="FW567" s="114">
        <v>770</v>
      </c>
      <c r="FX567" s="146">
        <v>63570</v>
      </c>
      <c r="FY567" s="32">
        <v>40</v>
      </c>
      <c r="FZ567" s="135"/>
      <c r="GA567" s="135"/>
      <c r="GB567" s="66"/>
    </row>
    <row r="568" spans="155:184" x14ac:dyDescent="0.25">
      <c r="EY568" s="119"/>
      <c r="EZ568" s="118"/>
      <c r="FA568" s="32">
        <v>51</v>
      </c>
      <c r="FB568" s="65">
        <v>770</v>
      </c>
      <c r="FC568" s="146">
        <v>63570</v>
      </c>
      <c r="FD568" s="109">
        <f t="shared" si="10"/>
        <v>63570</v>
      </c>
      <c r="FE568" s="76">
        <f t="shared" si="11"/>
        <v>183081.59999999998</v>
      </c>
      <c r="FF568" s="67">
        <f t="shared" si="12"/>
        <v>0</v>
      </c>
      <c r="FG568" s="76">
        <f t="shared" si="13"/>
        <v>6262300.7999999961</v>
      </c>
      <c r="FH568" s="67">
        <f>SUM(FE$518:FE568)*$FE$502</f>
        <v>2191805.2799999984</v>
      </c>
      <c r="FW568" s="114">
        <v>770</v>
      </c>
      <c r="FX568" s="146">
        <v>63570</v>
      </c>
      <c r="FY568" s="32">
        <v>40</v>
      </c>
      <c r="FZ568" s="135"/>
      <c r="GA568" s="135"/>
      <c r="GB568" s="66"/>
    </row>
    <row r="569" spans="155:184" x14ac:dyDescent="0.25">
      <c r="EY569" s="119"/>
      <c r="EZ569" s="118"/>
      <c r="FA569" s="32">
        <v>52</v>
      </c>
      <c r="FB569" s="65">
        <v>770</v>
      </c>
      <c r="FC569" s="146">
        <v>63570</v>
      </c>
      <c r="FD569" s="109">
        <f t="shared" si="10"/>
        <v>63570</v>
      </c>
      <c r="FE569" s="76">
        <f t="shared" si="11"/>
        <v>183081.59999999998</v>
      </c>
      <c r="FF569" s="67">
        <f t="shared" si="12"/>
        <v>0</v>
      </c>
      <c r="FG569" s="76">
        <f t="shared" si="13"/>
        <v>6445382.3999999957</v>
      </c>
      <c r="FH569" s="67">
        <f>SUM(FE$518:FE569)*$FE$502</f>
        <v>2255883.8399999985</v>
      </c>
      <c r="FW569" s="114">
        <v>770</v>
      </c>
      <c r="FX569" s="146">
        <v>63570</v>
      </c>
      <c r="FY569" s="32">
        <v>40</v>
      </c>
      <c r="FZ569" s="135"/>
      <c r="GA569" s="135"/>
      <c r="GB569" s="66"/>
    </row>
    <row r="570" spans="155:184" x14ac:dyDescent="0.25">
      <c r="EY570" s="119"/>
      <c r="EZ570" s="118"/>
      <c r="FA570" s="32">
        <v>53</v>
      </c>
      <c r="FB570" s="65">
        <v>770</v>
      </c>
      <c r="FC570" s="146">
        <v>63570</v>
      </c>
      <c r="FD570" s="109">
        <f t="shared" si="10"/>
        <v>63570</v>
      </c>
      <c r="FE570" s="76">
        <f t="shared" si="11"/>
        <v>183081.59999999998</v>
      </c>
      <c r="FF570" s="67">
        <f t="shared" si="12"/>
        <v>0</v>
      </c>
      <c r="FG570" s="76">
        <f t="shared" si="13"/>
        <v>6628463.9999999953</v>
      </c>
      <c r="FH570" s="67">
        <f>SUM(FE$518:FE570)*$FE$502</f>
        <v>2319962.399999998</v>
      </c>
      <c r="FW570" s="114">
        <v>770</v>
      </c>
      <c r="FX570" s="146">
        <v>63570</v>
      </c>
      <c r="FY570" s="32">
        <v>40</v>
      </c>
      <c r="FZ570" s="135"/>
      <c r="GA570" s="135"/>
      <c r="GB570" s="66"/>
    </row>
    <row r="571" spans="155:184" x14ac:dyDescent="0.25">
      <c r="EY571" s="119"/>
      <c r="EZ571" s="118"/>
      <c r="FA571" s="32">
        <v>54</v>
      </c>
      <c r="FB571" s="65">
        <v>770</v>
      </c>
      <c r="FC571" s="146">
        <v>63570</v>
      </c>
      <c r="FD571" s="109">
        <f t="shared" si="10"/>
        <v>63570</v>
      </c>
      <c r="FE571" s="76">
        <f t="shared" si="11"/>
        <v>183081.59999999998</v>
      </c>
      <c r="FF571" s="67">
        <f t="shared" si="12"/>
        <v>0</v>
      </c>
      <c r="FG571" s="76">
        <f t="shared" si="13"/>
        <v>6811545.599999995</v>
      </c>
      <c r="FH571" s="67">
        <f>SUM(FE$518:FE571)*$FE$502</f>
        <v>2384040.9599999981</v>
      </c>
      <c r="FW571" s="114">
        <v>770</v>
      </c>
      <c r="FX571" s="146">
        <v>63570</v>
      </c>
      <c r="FY571" s="32">
        <v>40</v>
      </c>
      <c r="FZ571" s="135"/>
      <c r="GA571" s="135"/>
      <c r="GB571" s="66"/>
    </row>
    <row r="572" spans="155:184" x14ac:dyDescent="0.25">
      <c r="EY572" s="119"/>
      <c r="EZ572" s="118"/>
      <c r="FA572" s="32">
        <v>55</v>
      </c>
      <c r="FB572" s="65">
        <v>770</v>
      </c>
      <c r="FC572" s="146">
        <v>63570</v>
      </c>
      <c r="FD572" s="109">
        <f t="shared" si="10"/>
        <v>63570</v>
      </c>
      <c r="FE572" s="76">
        <f t="shared" si="11"/>
        <v>183081.59999999998</v>
      </c>
      <c r="FF572" s="67">
        <f t="shared" si="12"/>
        <v>0</v>
      </c>
      <c r="FG572" s="76">
        <f t="shared" si="13"/>
        <v>6994627.1999999946</v>
      </c>
      <c r="FH572" s="67">
        <f>SUM(FE$518:FE572)*$FE$502</f>
        <v>2448119.5199999982</v>
      </c>
      <c r="FW572" s="114">
        <v>770</v>
      </c>
      <c r="FX572" s="146">
        <v>63570</v>
      </c>
      <c r="FY572" s="32">
        <v>40</v>
      </c>
      <c r="FZ572" s="135"/>
      <c r="GA572" s="135"/>
      <c r="GB572" s="66"/>
    </row>
    <row r="573" spans="155:184" x14ac:dyDescent="0.25">
      <c r="EY573" s="119"/>
      <c r="EZ573" s="118"/>
      <c r="FA573" s="32">
        <v>56</v>
      </c>
      <c r="FB573" s="65">
        <v>770</v>
      </c>
      <c r="FC573" s="146">
        <v>63570</v>
      </c>
      <c r="FD573" s="109">
        <f t="shared" si="10"/>
        <v>63570</v>
      </c>
      <c r="FE573" s="76">
        <f t="shared" si="11"/>
        <v>183081.59999999998</v>
      </c>
      <c r="FF573" s="67">
        <f t="shared" si="12"/>
        <v>0</v>
      </c>
      <c r="FG573" s="76">
        <f t="shared" si="13"/>
        <v>7177708.7999999942</v>
      </c>
      <c r="FH573" s="67">
        <f>SUM(FE$518:FE573)*$FE$502</f>
        <v>2512198.0799999977</v>
      </c>
      <c r="FW573" s="114">
        <v>770</v>
      </c>
      <c r="FX573" s="146">
        <v>63570</v>
      </c>
      <c r="FY573" s="32">
        <v>40</v>
      </c>
      <c r="FZ573" s="135"/>
      <c r="GA573" s="135"/>
      <c r="GB573" s="66"/>
    </row>
    <row r="574" spans="155:184" x14ac:dyDescent="0.25">
      <c r="EY574" s="119"/>
      <c r="EZ574" s="118"/>
      <c r="FA574" s="32">
        <v>57</v>
      </c>
      <c r="FB574" s="65">
        <v>770</v>
      </c>
      <c r="FC574" s="146">
        <v>63570</v>
      </c>
      <c r="FD574" s="109">
        <f t="shared" si="10"/>
        <v>63570</v>
      </c>
      <c r="FE574" s="76">
        <f t="shared" si="11"/>
        <v>183081.59999999998</v>
      </c>
      <c r="FF574" s="67">
        <f t="shared" si="12"/>
        <v>0</v>
      </c>
      <c r="FG574" s="76">
        <f t="shared" si="13"/>
        <v>7360790.3999999939</v>
      </c>
      <c r="FH574" s="67">
        <f>SUM(FE$518:FE574)*$FE$502</f>
        <v>2576276.6399999978</v>
      </c>
      <c r="FW574" s="114">
        <v>770</v>
      </c>
      <c r="FX574" s="146">
        <v>63570</v>
      </c>
      <c r="FY574" s="32">
        <v>40</v>
      </c>
      <c r="FZ574" s="135"/>
      <c r="GA574" s="135"/>
      <c r="GB574" s="66"/>
    </row>
    <row r="575" spans="155:184" x14ac:dyDescent="0.25">
      <c r="EY575" s="119"/>
      <c r="EZ575" s="118"/>
      <c r="FA575" s="32">
        <v>58</v>
      </c>
      <c r="FB575" s="65">
        <v>770</v>
      </c>
      <c r="FC575" s="146">
        <v>63570</v>
      </c>
      <c r="FD575" s="109">
        <f t="shared" si="10"/>
        <v>63570</v>
      </c>
      <c r="FE575" s="76">
        <f t="shared" si="11"/>
        <v>183081.59999999998</v>
      </c>
      <c r="FF575" s="67">
        <f t="shared" si="12"/>
        <v>0</v>
      </c>
      <c r="FG575" s="76">
        <f t="shared" si="13"/>
        <v>7543871.9999999935</v>
      </c>
      <c r="FH575" s="67">
        <f>SUM(FE$518:FE575)*$FE$502</f>
        <v>2640355.1999999974</v>
      </c>
      <c r="FW575" s="114">
        <v>770</v>
      </c>
      <c r="FX575" s="146">
        <v>63570</v>
      </c>
      <c r="FY575" s="32">
        <v>40</v>
      </c>
      <c r="FZ575" s="135"/>
      <c r="GA575" s="135"/>
      <c r="GB575" s="66"/>
    </row>
    <row r="576" spans="155:184" x14ac:dyDescent="0.25">
      <c r="EY576" s="119"/>
      <c r="EZ576" s="118"/>
      <c r="FA576" s="32">
        <v>59</v>
      </c>
      <c r="FB576" s="65">
        <v>770</v>
      </c>
      <c r="FC576" s="146">
        <v>63570</v>
      </c>
      <c r="FD576" s="109">
        <f t="shared" si="10"/>
        <v>63570</v>
      </c>
      <c r="FE576" s="76">
        <f t="shared" si="11"/>
        <v>183081.59999999998</v>
      </c>
      <c r="FF576" s="67">
        <f t="shared" si="12"/>
        <v>0</v>
      </c>
      <c r="FG576" s="76">
        <f t="shared" si="13"/>
        <v>7726953.5999999931</v>
      </c>
      <c r="FH576" s="67">
        <f>SUM(FE$518:FE576)*$FE$502</f>
        <v>2704433.7599999974</v>
      </c>
      <c r="FW576" s="114">
        <v>770</v>
      </c>
      <c r="FX576" s="146">
        <v>63570</v>
      </c>
      <c r="FY576" s="32">
        <v>40</v>
      </c>
      <c r="FZ576" s="135"/>
      <c r="GA576" s="135"/>
      <c r="GB576" s="66"/>
    </row>
    <row r="577" spans="155:184" x14ac:dyDescent="0.25">
      <c r="EY577" s="119"/>
      <c r="EZ577" s="118"/>
      <c r="FA577" s="32">
        <v>60</v>
      </c>
      <c r="FB577" s="65">
        <v>770</v>
      </c>
      <c r="FC577" s="146">
        <v>63570</v>
      </c>
      <c r="FD577" s="109">
        <f t="shared" si="10"/>
        <v>63570</v>
      </c>
      <c r="FE577" s="76">
        <f t="shared" si="11"/>
        <v>183081.59999999998</v>
      </c>
      <c r="FF577" s="67">
        <f t="shared" si="12"/>
        <v>0</v>
      </c>
      <c r="FG577" s="76">
        <f t="shared" si="13"/>
        <v>7910035.1999999927</v>
      </c>
      <c r="FH577" s="67">
        <f>SUM(FE$518:FE577)*$FE$502</f>
        <v>2768512.3199999975</v>
      </c>
      <c r="FW577" s="114">
        <v>770</v>
      </c>
      <c r="FX577" s="146">
        <v>63570</v>
      </c>
      <c r="FY577" s="32">
        <v>40</v>
      </c>
      <c r="FZ577" s="135"/>
      <c r="GA577" s="135"/>
      <c r="GB577" s="66"/>
    </row>
    <row r="578" spans="155:184" x14ac:dyDescent="0.25">
      <c r="EY578" s="119"/>
      <c r="EZ578" s="118"/>
      <c r="FA578" s="32">
        <v>61</v>
      </c>
      <c r="FB578" s="65">
        <v>770</v>
      </c>
      <c r="FC578" s="146">
        <v>63570</v>
      </c>
      <c r="FD578" s="109">
        <f t="shared" si="10"/>
        <v>63570</v>
      </c>
      <c r="FE578" s="76">
        <f t="shared" si="11"/>
        <v>183081.59999999998</v>
      </c>
      <c r="FF578" s="67">
        <f t="shared" si="12"/>
        <v>0</v>
      </c>
      <c r="FG578" s="76">
        <f t="shared" si="13"/>
        <v>8093116.7999999924</v>
      </c>
      <c r="FH578" s="67">
        <f>SUM(FE$518:FE578)*$FE$502</f>
        <v>2832590.8799999971</v>
      </c>
      <c r="FW578" s="114">
        <v>770</v>
      </c>
      <c r="FX578" s="146">
        <v>63570</v>
      </c>
      <c r="FY578" s="32">
        <v>40</v>
      </c>
      <c r="FZ578" s="135"/>
      <c r="GA578" s="135"/>
      <c r="GB578" s="66"/>
    </row>
    <row r="579" spans="155:184" x14ac:dyDescent="0.25">
      <c r="EY579" s="119"/>
      <c r="EZ579" s="118"/>
      <c r="FA579" s="32">
        <v>62</v>
      </c>
      <c r="FB579" s="65">
        <v>770</v>
      </c>
      <c r="FC579" s="146">
        <v>63570</v>
      </c>
      <c r="FD579" s="109">
        <f t="shared" si="10"/>
        <v>63570</v>
      </c>
      <c r="FE579" s="76">
        <f t="shared" si="11"/>
        <v>183081.59999999998</v>
      </c>
      <c r="FF579" s="67">
        <f t="shared" si="12"/>
        <v>0</v>
      </c>
      <c r="FG579" s="76">
        <f t="shared" si="13"/>
        <v>8276198.399999992</v>
      </c>
      <c r="FH579" s="67">
        <f>SUM(FE$518:FE579)*$FE$502</f>
        <v>2896669.4399999972</v>
      </c>
      <c r="FW579" s="114">
        <v>770</v>
      </c>
      <c r="FX579" s="146">
        <v>63570</v>
      </c>
      <c r="FY579" s="32">
        <v>40</v>
      </c>
      <c r="FZ579" s="135"/>
      <c r="GA579" s="135"/>
      <c r="GB579" s="66"/>
    </row>
    <row r="580" spans="155:184" x14ac:dyDescent="0.25">
      <c r="EY580" s="119"/>
      <c r="EZ580" s="118"/>
      <c r="FA580" s="32">
        <v>63</v>
      </c>
      <c r="FB580" s="65">
        <v>770</v>
      </c>
      <c r="FC580" s="146">
        <v>63570</v>
      </c>
      <c r="FD580" s="109">
        <f t="shared" si="10"/>
        <v>63570</v>
      </c>
      <c r="FE580" s="76">
        <f t="shared" si="11"/>
        <v>183081.59999999998</v>
      </c>
      <c r="FF580" s="67">
        <f t="shared" si="12"/>
        <v>0</v>
      </c>
      <c r="FG580" s="76">
        <f t="shared" si="13"/>
        <v>8459279.9999999925</v>
      </c>
      <c r="FH580" s="67">
        <f>SUM(FE$518:FE580)*$FE$502</f>
        <v>2960747.9999999972</v>
      </c>
      <c r="FW580" s="114">
        <v>770</v>
      </c>
      <c r="FX580" s="146">
        <v>63570</v>
      </c>
      <c r="FY580" s="32">
        <v>40</v>
      </c>
      <c r="FZ580" s="135"/>
      <c r="GA580" s="135"/>
      <c r="GB580" s="66"/>
    </row>
    <row r="581" spans="155:184" x14ac:dyDescent="0.25">
      <c r="EY581" s="119"/>
      <c r="EZ581" s="118"/>
      <c r="FA581" s="32">
        <v>64</v>
      </c>
      <c r="FB581" s="65">
        <v>770</v>
      </c>
      <c r="FC581" s="146">
        <v>63570</v>
      </c>
      <c r="FD581" s="109">
        <f t="shared" si="10"/>
        <v>63570</v>
      </c>
      <c r="FE581" s="76">
        <f t="shared" si="11"/>
        <v>183081.59999999998</v>
      </c>
      <c r="FF581" s="67">
        <f t="shared" si="12"/>
        <v>0</v>
      </c>
      <c r="FG581" s="76">
        <f t="shared" si="13"/>
        <v>8642361.5999999922</v>
      </c>
      <c r="FH581" s="67">
        <f>SUM(FE$518:FE581)*$FE$502</f>
        <v>3024826.5599999973</v>
      </c>
      <c r="FW581" s="114">
        <v>770</v>
      </c>
      <c r="FX581" s="146">
        <v>63570</v>
      </c>
      <c r="FY581" s="32">
        <v>40</v>
      </c>
      <c r="FZ581" s="135"/>
      <c r="GA581" s="135"/>
      <c r="GB581" s="66"/>
    </row>
    <row r="582" spans="155:184" x14ac:dyDescent="0.25">
      <c r="EY582" s="119"/>
      <c r="EZ582" s="118"/>
      <c r="FA582" s="32">
        <v>65</v>
      </c>
      <c r="FB582" s="65">
        <v>770</v>
      </c>
      <c r="FC582" s="146">
        <v>63570</v>
      </c>
      <c r="FD582" s="109">
        <f t="shared" ref="FD582:FD597" si="14">FC582*(1+$FB$508)^(FA582-1)</f>
        <v>63570</v>
      </c>
      <c r="FE582" s="76">
        <f t="shared" ref="FE582:FE597" si="15">FD582*2*$FB$507*12</f>
        <v>183081.59999999998</v>
      </c>
      <c r="FF582" s="67">
        <f t="shared" ref="FF582:FF597" si="16">FV($FC$506/12,12,-FE582/12,,0)-FE582</f>
        <v>0</v>
      </c>
      <c r="FG582" s="76">
        <f t="shared" si="13"/>
        <v>8825443.1999999918</v>
      </c>
      <c r="FH582" s="67">
        <f>SUM(FE$518:FE582)*$FE$502</f>
        <v>3088905.1199999969</v>
      </c>
    </row>
    <row r="583" spans="155:184" x14ac:dyDescent="0.25">
      <c r="EY583" s="119"/>
      <c r="EZ583" s="118"/>
      <c r="FA583" s="32">
        <v>66</v>
      </c>
      <c r="FB583" s="65">
        <v>770</v>
      </c>
      <c r="FC583" s="146">
        <v>63570</v>
      </c>
      <c r="FD583" s="109">
        <f t="shared" si="14"/>
        <v>63570</v>
      </c>
      <c r="FE583" s="76">
        <f t="shared" si="15"/>
        <v>183081.59999999998</v>
      </c>
      <c r="FF583" s="67">
        <f t="shared" si="16"/>
        <v>0</v>
      </c>
      <c r="FG583" s="76">
        <f t="shared" ref="FG583:FG597" si="17">FG582*(1+$FC$506)+FE583+FF583</f>
        <v>9008524.7999999914</v>
      </c>
      <c r="FH583" s="67">
        <f>SUM(FE$518:FE583)*$FE$502</f>
        <v>3152983.6799999969</v>
      </c>
    </row>
    <row r="584" spans="155:184" x14ac:dyDescent="0.25">
      <c r="EY584" s="119"/>
      <c r="EZ584" s="118"/>
      <c r="FA584" s="32">
        <v>67</v>
      </c>
      <c r="FB584" s="65">
        <v>770</v>
      </c>
      <c r="FC584" s="146">
        <v>63570</v>
      </c>
      <c r="FD584" s="109">
        <f t="shared" si="14"/>
        <v>63570</v>
      </c>
      <c r="FE584" s="76">
        <f t="shared" si="15"/>
        <v>183081.59999999998</v>
      </c>
      <c r="FF584" s="67">
        <f t="shared" si="16"/>
        <v>0</v>
      </c>
      <c r="FG584" s="76">
        <f t="shared" si="17"/>
        <v>9191606.3999999911</v>
      </c>
      <c r="FH584" s="67">
        <f>SUM(FE$518:FE584)*$FE$502</f>
        <v>3217062.2399999965</v>
      </c>
    </row>
    <row r="585" spans="155:184" x14ac:dyDescent="0.25">
      <c r="EY585" s="119"/>
      <c r="EZ585" s="118"/>
      <c r="FA585" s="32">
        <v>68</v>
      </c>
      <c r="FB585" s="65">
        <v>770</v>
      </c>
      <c r="FC585" s="146">
        <v>63570</v>
      </c>
      <c r="FD585" s="109">
        <f t="shared" si="14"/>
        <v>63570</v>
      </c>
      <c r="FE585" s="76">
        <f t="shared" si="15"/>
        <v>183081.59999999998</v>
      </c>
      <c r="FF585" s="67">
        <f t="shared" si="16"/>
        <v>0</v>
      </c>
      <c r="FG585" s="76">
        <f t="shared" si="17"/>
        <v>9374687.9999999907</v>
      </c>
      <c r="FH585" s="67">
        <f>SUM(FE$518:FE585)*$FE$502</f>
        <v>3281140.7999999966</v>
      </c>
    </row>
    <row r="586" spans="155:184" x14ac:dyDescent="0.25">
      <c r="EY586" s="119"/>
      <c r="EZ586" s="118"/>
      <c r="FA586" s="32">
        <v>69</v>
      </c>
      <c r="FB586" s="65">
        <v>770</v>
      </c>
      <c r="FC586" s="146">
        <v>63570</v>
      </c>
      <c r="FD586" s="109">
        <f t="shared" si="14"/>
        <v>63570</v>
      </c>
      <c r="FE586" s="76">
        <f t="shared" si="15"/>
        <v>183081.59999999998</v>
      </c>
      <c r="FF586" s="67">
        <f t="shared" si="16"/>
        <v>0</v>
      </c>
      <c r="FG586" s="76">
        <f t="shared" si="17"/>
        <v>9557769.5999999903</v>
      </c>
      <c r="FH586" s="67">
        <f>SUM(FE$518:FE586)*$FE$502</f>
        <v>3345219.3599999966</v>
      </c>
    </row>
    <row r="587" spans="155:184" x14ac:dyDescent="0.25">
      <c r="EY587" s="119"/>
      <c r="EZ587" s="118"/>
      <c r="FA587" s="32">
        <v>70</v>
      </c>
      <c r="FB587" s="65">
        <v>770</v>
      </c>
      <c r="FC587" s="146">
        <v>63570</v>
      </c>
      <c r="FD587" s="109">
        <f t="shared" si="14"/>
        <v>63570</v>
      </c>
      <c r="FE587" s="76">
        <f t="shared" si="15"/>
        <v>183081.59999999998</v>
      </c>
      <c r="FF587" s="67">
        <f t="shared" si="16"/>
        <v>0</v>
      </c>
      <c r="FG587" s="76">
        <f t="shared" si="17"/>
        <v>9740851.1999999899</v>
      </c>
      <c r="FH587" s="67">
        <f>SUM(FE$518:FE587)*$FE$502</f>
        <v>3409297.9199999962</v>
      </c>
    </row>
    <row r="588" spans="155:184" x14ac:dyDescent="0.25">
      <c r="EY588" s="119"/>
      <c r="EZ588" s="118"/>
      <c r="FA588" s="32">
        <v>71</v>
      </c>
      <c r="FB588" s="65">
        <v>770</v>
      </c>
      <c r="FC588" s="146">
        <v>63570</v>
      </c>
      <c r="FD588" s="109">
        <f t="shared" si="14"/>
        <v>63570</v>
      </c>
      <c r="FE588" s="76">
        <f t="shared" si="15"/>
        <v>183081.59999999998</v>
      </c>
      <c r="FF588" s="67">
        <f t="shared" si="16"/>
        <v>0</v>
      </c>
      <c r="FG588" s="76">
        <f t="shared" si="17"/>
        <v>9923932.7999999896</v>
      </c>
      <c r="FH588" s="67">
        <f>SUM(FE$518:FE588)*$FE$502</f>
        <v>3473376.4799999963</v>
      </c>
    </row>
    <row r="589" spans="155:184" x14ac:dyDescent="0.25">
      <c r="EY589" s="119"/>
      <c r="EZ589" s="118"/>
      <c r="FA589" s="32">
        <v>72</v>
      </c>
      <c r="FB589" s="65">
        <v>770</v>
      </c>
      <c r="FC589" s="146">
        <v>63570</v>
      </c>
      <c r="FD589" s="109">
        <f t="shared" si="14"/>
        <v>63570</v>
      </c>
      <c r="FE589" s="76">
        <f t="shared" si="15"/>
        <v>183081.59999999998</v>
      </c>
      <c r="FF589" s="67">
        <f t="shared" si="16"/>
        <v>0</v>
      </c>
      <c r="FG589" s="76">
        <f t="shared" si="17"/>
        <v>10107014.399999989</v>
      </c>
      <c r="FH589" s="67">
        <f>SUM(FE$518:FE589)*$FE$502</f>
        <v>3537455.0399999958</v>
      </c>
    </row>
    <row r="590" spans="155:184" x14ac:dyDescent="0.25">
      <c r="EY590" s="119"/>
      <c r="EZ590" s="118"/>
      <c r="FA590" s="32">
        <v>73</v>
      </c>
      <c r="FB590" s="65">
        <v>770</v>
      </c>
      <c r="FC590" s="146">
        <v>63570</v>
      </c>
      <c r="FD590" s="109">
        <f t="shared" si="14"/>
        <v>63570</v>
      </c>
      <c r="FE590" s="76">
        <f t="shared" si="15"/>
        <v>183081.59999999998</v>
      </c>
      <c r="FF590" s="67">
        <f t="shared" si="16"/>
        <v>0</v>
      </c>
      <c r="FG590" s="76">
        <f t="shared" si="17"/>
        <v>10290095.999999989</v>
      </c>
      <c r="FH590" s="67">
        <f>SUM(FE$518:FE590)*$FE$502</f>
        <v>3601533.5999999959</v>
      </c>
    </row>
    <row r="591" spans="155:184" x14ac:dyDescent="0.25">
      <c r="EY591" s="119"/>
      <c r="EZ591" s="118"/>
      <c r="FA591" s="32">
        <v>74</v>
      </c>
      <c r="FB591" s="65">
        <v>770</v>
      </c>
      <c r="FC591" s="146">
        <v>63570</v>
      </c>
      <c r="FD591" s="109">
        <f t="shared" si="14"/>
        <v>63570</v>
      </c>
      <c r="FE591" s="76">
        <f t="shared" si="15"/>
        <v>183081.59999999998</v>
      </c>
      <c r="FF591" s="67">
        <f t="shared" si="16"/>
        <v>0</v>
      </c>
      <c r="FG591" s="76">
        <f t="shared" si="17"/>
        <v>10473177.599999988</v>
      </c>
      <c r="FH591" s="67">
        <f>SUM(FE$518:FE591)*$FE$502</f>
        <v>3665612.159999996</v>
      </c>
    </row>
    <row r="592" spans="155:184" x14ac:dyDescent="0.25">
      <c r="EY592" s="119"/>
      <c r="EZ592" s="118"/>
      <c r="FA592" s="32">
        <v>75</v>
      </c>
      <c r="FB592" s="65">
        <v>770</v>
      </c>
      <c r="FC592" s="146">
        <v>63570</v>
      </c>
      <c r="FD592" s="109">
        <f t="shared" si="14"/>
        <v>63570</v>
      </c>
      <c r="FE592" s="76">
        <f t="shared" si="15"/>
        <v>183081.59999999998</v>
      </c>
      <c r="FF592" s="67">
        <f t="shared" si="16"/>
        <v>0</v>
      </c>
      <c r="FG592" s="76">
        <f t="shared" si="17"/>
        <v>10656259.199999988</v>
      </c>
      <c r="FH592" s="67">
        <f>SUM(FE$518:FE592)*$FE$502</f>
        <v>3729690.7199999955</v>
      </c>
    </row>
    <row r="593" spans="155:164" x14ac:dyDescent="0.25">
      <c r="EY593" s="119"/>
      <c r="EZ593" s="118"/>
      <c r="FA593" s="32">
        <v>76</v>
      </c>
      <c r="FB593" s="65">
        <v>770</v>
      </c>
      <c r="FC593" s="146">
        <v>63570</v>
      </c>
      <c r="FD593" s="109">
        <f t="shared" si="14"/>
        <v>63570</v>
      </c>
      <c r="FE593" s="76">
        <f t="shared" si="15"/>
        <v>183081.59999999998</v>
      </c>
      <c r="FF593" s="67">
        <f t="shared" si="16"/>
        <v>0</v>
      </c>
      <c r="FG593" s="76">
        <f t="shared" si="17"/>
        <v>10839340.799999988</v>
      </c>
      <c r="FH593" s="67">
        <f>SUM(FE$518:FE593)*$FE$502</f>
        <v>3793769.2799999956</v>
      </c>
    </row>
    <row r="594" spans="155:164" x14ac:dyDescent="0.25">
      <c r="EY594" s="119"/>
      <c r="EZ594" s="118"/>
      <c r="FA594" s="32">
        <v>77</v>
      </c>
      <c r="FB594" s="65">
        <v>770</v>
      </c>
      <c r="FC594" s="146">
        <v>63570</v>
      </c>
      <c r="FD594" s="109">
        <f t="shared" si="14"/>
        <v>63570</v>
      </c>
      <c r="FE594" s="76">
        <f t="shared" si="15"/>
        <v>183081.59999999998</v>
      </c>
      <c r="FF594" s="67">
        <f t="shared" si="16"/>
        <v>0</v>
      </c>
      <c r="FG594" s="76">
        <f t="shared" si="17"/>
        <v>11022422.399999987</v>
      </c>
      <c r="FH594" s="67">
        <f>SUM(FE$518:FE594)*$FE$502</f>
        <v>3857847.8399999952</v>
      </c>
    </row>
    <row r="595" spans="155:164" x14ac:dyDescent="0.25">
      <c r="EY595" s="119"/>
      <c r="EZ595" s="118"/>
      <c r="FA595" s="32">
        <v>78</v>
      </c>
      <c r="FB595" s="65">
        <v>770</v>
      </c>
      <c r="FC595" s="146">
        <v>63570</v>
      </c>
      <c r="FD595" s="109">
        <f t="shared" si="14"/>
        <v>63570</v>
      </c>
      <c r="FE595" s="76">
        <f t="shared" si="15"/>
        <v>183081.59999999998</v>
      </c>
      <c r="FF595" s="67">
        <f t="shared" si="16"/>
        <v>0</v>
      </c>
      <c r="FG595" s="76">
        <f t="shared" si="17"/>
        <v>11205503.999999987</v>
      </c>
      <c r="FH595" s="67">
        <f>SUM(FE$518:FE595)*$FE$502</f>
        <v>3921926.3999999953</v>
      </c>
    </row>
    <row r="596" spans="155:164" x14ac:dyDescent="0.25">
      <c r="EY596" s="119"/>
      <c r="EZ596" s="118"/>
      <c r="FA596" s="32">
        <v>79</v>
      </c>
      <c r="FB596" s="65">
        <v>770</v>
      </c>
      <c r="FC596" s="146">
        <v>63570</v>
      </c>
      <c r="FD596" s="109">
        <f t="shared" si="14"/>
        <v>63570</v>
      </c>
      <c r="FE596" s="76">
        <f t="shared" si="15"/>
        <v>183081.59999999998</v>
      </c>
      <c r="FF596" s="67">
        <f t="shared" si="16"/>
        <v>0</v>
      </c>
      <c r="FG596" s="76">
        <f t="shared" si="17"/>
        <v>11388585.599999987</v>
      </c>
      <c r="FH596" s="67">
        <f>SUM(FE$518:FE596)*$FE$502</f>
        <v>3986004.9599999948</v>
      </c>
    </row>
    <row r="597" spans="155:164" x14ac:dyDescent="0.25">
      <c r="EY597" s="119"/>
      <c r="EZ597" s="118"/>
      <c r="FA597" s="32">
        <v>80</v>
      </c>
      <c r="FB597" s="65">
        <v>770</v>
      </c>
      <c r="FC597" s="146">
        <v>63570</v>
      </c>
      <c r="FD597" s="109">
        <f t="shared" si="14"/>
        <v>63570</v>
      </c>
      <c r="FE597" s="76">
        <f t="shared" si="15"/>
        <v>183081.59999999998</v>
      </c>
      <c r="FF597" s="67">
        <f t="shared" si="16"/>
        <v>0</v>
      </c>
      <c r="FG597" s="76">
        <f t="shared" si="17"/>
        <v>11571667.199999986</v>
      </c>
      <c r="FH597" s="67">
        <f>SUM(FE$518:FE597)*$FE$502</f>
        <v>4050083.5199999949</v>
      </c>
    </row>
  </sheetData>
  <mergeCells count="29">
    <mergeCell ref="GG522:GH522"/>
    <mergeCell ref="GG523:GH523"/>
    <mergeCell ref="GG524:GH524"/>
    <mergeCell ref="GG525:GH525"/>
    <mergeCell ref="GG518:GH518"/>
    <mergeCell ref="GG519:GH519"/>
    <mergeCell ref="GG520:GH520"/>
    <mergeCell ref="GG521:GH521"/>
    <mergeCell ref="GG515:GH515"/>
    <mergeCell ref="GG516:GH516"/>
    <mergeCell ref="GG517:GH517"/>
    <mergeCell ref="GG510:GH510"/>
    <mergeCell ref="GG511:GH511"/>
    <mergeCell ref="GG512:GH512"/>
    <mergeCell ref="GG513:GH513"/>
    <mergeCell ref="GJ502:GJ503"/>
    <mergeCell ref="GK502:GK503"/>
    <mergeCell ref="GG504:GH504"/>
    <mergeCell ref="GG505:GH505"/>
    <mergeCell ref="GG514:GH514"/>
    <mergeCell ref="EW505:EX512"/>
    <mergeCell ref="GE501:GG501"/>
    <mergeCell ref="GH501:GI501"/>
    <mergeCell ref="GG502:GH503"/>
    <mergeCell ref="GI502:GI503"/>
    <mergeCell ref="GG506:GH506"/>
    <mergeCell ref="GG507:GH507"/>
    <mergeCell ref="GG508:GH508"/>
    <mergeCell ref="GG509:GH509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標準內容</tns:defaultPropertyEditorNamespace>
</tns:customPropertyEditors>
</file>

<file path=customXml/itemProps1.xml><?xml version="1.0" encoding="utf-8"?>
<ds:datastoreItem xmlns:ds="http://schemas.openxmlformats.org/officeDocument/2006/customXml" ds:itemID="{8F1ED8AF-D376-418F-A785-8F2D58188166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8</vt:i4>
      </vt:variant>
    </vt:vector>
  </HeadingPairs>
  <TitlesOfParts>
    <vt:vector size="10" baseType="lpstr">
      <vt:lpstr>Sheet1</vt:lpstr>
      <vt:lpstr>sheet2</vt:lpstr>
      <vt:lpstr>DC</vt:lpstr>
      <vt:lpstr>grade</vt:lpstr>
      <vt:lpstr>labor</vt:lpstr>
      <vt:lpstr>new_service</vt:lpstr>
      <vt:lpstr>old_ins</vt:lpstr>
      <vt:lpstr>old_service</vt:lpstr>
      <vt:lpstr>Sheet1!Print_Area</vt:lpstr>
      <vt:lpstr>salary</vt:lpstr>
    </vt:vector>
  </TitlesOfParts>
  <Company>moe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聲弘 初</cp:lastModifiedBy>
  <cp:lastPrinted>2025-05-21T02:52:18Z</cp:lastPrinted>
  <dcterms:created xsi:type="dcterms:W3CDTF">2006-05-26T07:39:29Z</dcterms:created>
  <dcterms:modified xsi:type="dcterms:W3CDTF">2025-07-30T02:28:05Z</dcterms:modified>
</cp:coreProperties>
</file>